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7496" windowHeight="9972"/>
  </bookViews>
  <sheets>
    <sheet name="2017" sheetId="10" r:id="rId1"/>
  </sheets>
  <externalReferences>
    <externalReference r:id="rId2"/>
    <externalReference r:id="rId3"/>
    <externalReference r:id="rId4"/>
  </externalReferences>
  <definedNames>
    <definedName name="_xlnm.Print_Titles" localSheetId="0">'2017'!$10:$14</definedName>
    <definedName name="_xlnm.Print_Area" localSheetId="0">'2017'!$A$1:$U$559</definedName>
    <definedName name="стены">[1]Справочники!$A$201:$A$223</definedName>
  </definedNames>
  <calcPr calcId="145621"/>
</workbook>
</file>

<file path=xl/calcChain.xml><?xml version="1.0" encoding="utf-8"?>
<calcChain xmlns="http://schemas.openxmlformats.org/spreadsheetml/2006/main">
  <c r="K282" i="10" l="1"/>
  <c r="I282" i="10"/>
  <c r="H282" i="10" s="1"/>
  <c r="K562" i="10"/>
  <c r="I562" i="10"/>
  <c r="H562" i="10" s="1"/>
  <c r="G411" i="10" l="1"/>
  <c r="I411" i="10" s="1"/>
  <c r="L277" i="10" l="1"/>
  <c r="P277" i="10"/>
  <c r="Q277" i="10"/>
  <c r="R277" i="10"/>
  <c r="O293" i="10"/>
  <c r="P293" i="10"/>
  <c r="Q293" i="10"/>
  <c r="R293" i="10"/>
  <c r="G293" i="10"/>
  <c r="O264" i="10" l="1"/>
  <c r="N264" i="10"/>
  <c r="M264" i="10"/>
  <c r="K264" i="10"/>
  <c r="M46" i="10"/>
  <c r="H264" i="10" l="1"/>
  <c r="S264" i="10" s="1"/>
  <c r="M276" i="10"/>
  <c r="I276" i="10"/>
  <c r="H276" i="10" s="1"/>
  <c r="S276" i="10" s="1"/>
  <c r="J275" i="10"/>
  <c r="H275" i="10" s="1"/>
  <c r="S275" i="10" s="1"/>
  <c r="K274" i="10"/>
  <c r="H274" i="10" s="1"/>
  <c r="S274" i="10" s="1"/>
  <c r="K273" i="10"/>
  <c r="H273" i="10" s="1"/>
  <c r="S273" i="10" s="1"/>
  <c r="K272" i="10"/>
  <c r="H272" i="10" s="1"/>
  <c r="S272" i="10" s="1"/>
  <c r="M271" i="10"/>
  <c r="K271" i="10"/>
  <c r="I270" i="10"/>
  <c r="H270" i="10" s="1"/>
  <c r="S270" i="10" s="1"/>
  <c r="I269" i="10"/>
  <c r="H269" i="10" s="1"/>
  <c r="S269" i="10" s="1"/>
  <c r="K268" i="10"/>
  <c r="H268" i="10" s="1"/>
  <c r="S268" i="10" s="1"/>
  <c r="K267" i="10"/>
  <c r="H267" i="10" s="1"/>
  <c r="S267" i="10" s="1"/>
  <c r="I266" i="10"/>
  <c r="H266" i="10" s="1"/>
  <c r="S266" i="10" s="1"/>
  <c r="K265" i="10"/>
  <c r="I265" i="10"/>
  <c r="I263" i="10"/>
  <c r="H263" i="10" s="1"/>
  <c r="S263" i="10" s="1"/>
  <c r="I262" i="10"/>
  <c r="H262" i="10" s="1"/>
  <c r="S262" i="10" s="1"/>
  <c r="K261" i="10"/>
  <c r="H261" i="10" s="1"/>
  <c r="S261" i="10" s="1"/>
  <c r="J260" i="10"/>
  <c r="H260" i="10" s="1"/>
  <c r="S260" i="10" s="1"/>
  <c r="M259" i="10"/>
  <c r="K259" i="10"/>
  <c r="I259" i="10"/>
  <c r="I258" i="10"/>
  <c r="H258" i="10" s="1"/>
  <c r="S258" i="10" s="1"/>
  <c r="I257" i="10"/>
  <c r="H257" i="10" s="1"/>
  <c r="S257" i="10" s="1"/>
  <c r="I256" i="10"/>
  <c r="H256" i="10" s="1"/>
  <c r="S256" i="10" s="1"/>
  <c r="I255" i="10"/>
  <c r="H255" i="10" s="1"/>
  <c r="S255" i="10" s="1"/>
  <c r="M254" i="10"/>
  <c r="H254" i="10" s="1"/>
  <c r="S254" i="10" s="1"/>
  <c r="I253" i="10"/>
  <c r="H253" i="10" s="1"/>
  <c r="S253" i="10" s="1"/>
  <c r="I252" i="10"/>
  <c r="H252" i="10" s="1"/>
  <c r="S252" i="10" s="1"/>
  <c r="I251" i="10"/>
  <c r="H251" i="10" s="1"/>
  <c r="S251" i="10" s="1"/>
  <c r="I250" i="10"/>
  <c r="H250" i="10" s="1"/>
  <c r="S250" i="10" s="1"/>
  <c r="I249" i="10"/>
  <c r="H249" i="10" s="1"/>
  <c r="S249" i="10" s="1"/>
  <c r="I248" i="10"/>
  <c r="H248" i="10" s="1"/>
  <c r="S248" i="10" s="1"/>
  <c r="I247" i="10"/>
  <c r="H247" i="10" s="1"/>
  <c r="S247" i="10" s="1"/>
  <c r="K246" i="10"/>
  <c r="H246" i="10" s="1"/>
  <c r="S246" i="10" s="1"/>
  <c r="M245" i="10"/>
  <c r="H245" i="10" s="1"/>
  <c r="S245" i="10" s="1"/>
  <c r="M244" i="10"/>
  <c r="H244" i="10" s="1"/>
  <c r="S244" i="10" s="1"/>
  <c r="I243" i="10"/>
  <c r="H243" i="10" s="1"/>
  <c r="S243" i="10" s="1"/>
  <c r="O242" i="10"/>
  <c r="J242" i="10" s="1"/>
  <c r="M242" i="10"/>
  <c r="I241" i="10"/>
  <c r="H241" i="10" s="1"/>
  <c r="S241" i="10" s="1"/>
  <c r="I240" i="10"/>
  <c r="H240" i="10" s="1"/>
  <c r="S240" i="10" s="1"/>
  <c r="I239" i="10"/>
  <c r="H239" i="10" s="1"/>
  <c r="S239" i="10" s="1"/>
  <c r="I238" i="10"/>
  <c r="H238" i="10" s="1"/>
  <c r="S238" i="10" s="1"/>
  <c r="I237" i="10"/>
  <c r="H237" i="10" s="1"/>
  <c r="S237" i="10" s="1"/>
  <c r="K236" i="10"/>
  <c r="H236" i="10" s="1"/>
  <c r="S236" i="10" s="1"/>
  <c r="K235" i="10"/>
  <c r="H235" i="10" s="1"/>
  <c r="S235" i="10" s="1"/>
  <c r="K234" i="10"/>
  <c r="H234" i="10" s="1"/>
  <c r="S234" i="10" s="1"/>
  <c r="K233" i="10"/>
  <c r="H233" i="10" s="1"/>
  <c r="S233" i="10" s="1"/>
  <c r="I232" i="10"/>
  <c r="H232" i="10" s="1"/>
  <c r="S232" i="10" s="1"/>
  <c r="K231" i="10"/>
  <c r="I231" i="10"/>
  <c r="I230" i="10"/>
  <c r="H230" i="10" s="1"/>
  <c r="S230" i="10" s="1"/>
  <c r="I229" i="10"/>
  <c r="H229" i="10" s="1"/>
  <c r="S229" i="10" s="1"/>
  <c r="I228" i="10"/>
  <c r="H228" i="10" s="1"/>
  <c r="S228" i="10" s="1"/>
  <c r="K227" i="10"/>
  <c r="I227" i="10"/>
  <c r="H227" i="10" s="1"/>
  <c r="S227" i="10" s="1"/>
  <c r="I226" i="10"/>
  <c r="H226" i="10" s="1"/>
  <c r="S226" i="10" s="1"/>
  <c r="I225" i="10"/>
  <c r="H225" i="10" s="1"/>
  <c r="S225" i="10" s="1"/>
  <c r="M224" i="10"/>
  <c r="K224" i="10"/>
  <c r="M223" i="10"/>
  <c r="K223" i="10"/>
  <c r="M222" i="10"/>
  <c r="H222" i="10" s="1"/>
  <c r="S222" i="10" s="1"/>
  <c r="M221" i="10"/>
  <c r="H221" i="10" s="1"/>
  <c r="S221" i="10" s="1"/>
  <c r="O220" i="10"/>
  <c r="K220" i="10"/>
  <c r="I220" i="10"/>
  <c r="K219" i="10"/>
  <c r="H219" i="10" s="1"/>
  <c r="S219" i="10" s="1"/>
  <c r="J218" i="10"/>
  <c r="H218" i="10" s="1"/>
  <c r="S218" i="10" s="1"/>
  <c r="I217" i="10"/>
  <c r="H217" i="10" s="1"/>
  <c r="S217" i="10" s="1"/>
  <c r="K216" i="10"/>
  <c r="I216" i="10"/>
  <c r="M215" i="10"/>
  <c r="H215" i="10" s="1"/>
  <c r="S215" i="10" s="1"/>
  <c r="K214" i="10"/>
  <c r="H214" i="10" s="1"/>
  <c r="S214" i="10" s="1"/>
  <c r="I213" i="10"/>
  <c r="H213" i="10"/>
  <c r="S213" i="10" s="1"/>
  <c r="I212" i="10"/>
  <c r="H212" i="10" s="1"/>
  <c r="S212" i="10" s="1"/>
  <c r="I211" i="10"/>
  <c r="H211" i="10" s="1"/>
  <c r="S211" i="10" s="1"/>
  <c r="K210" i="10"/>
  <c r="H210" i="10" s="1"/>
  <c r="S210" i="10" s="1"/>
  <c r="I209" i="10"/>
  <c r="H209" i="10" s="1"/>
  <c r="S209" i="10" s="1"/>
  <c r="K208" i="10"/>
  <c r="H208" i="10" s="1"/>
  <c r="S208" i="10" s="1"/>
  <c r="I207" i="10"/>
  <c r="H207" i="10" s="1"/>
  <c r="S207" i="10" s="1"/>
  <c r="M206" i="10"/>
  <c r="I206" i="10"/>
  <c r="H206" i="10" s="1"/>
  <c r="S206" i="10" s="1"/>
  <c r="M205" i="10"/>
  <c r="H205" i="10" s="1"/>
  <c r="S205" i="10" s="1"/>
  <c r="K204" i="10"/>
  <c r="H204" i="10" s="1"/>
  <c r="S204" i="10" s="1"/>
  <c r="K203" i="10"/>
  <c r="H203" i="10" s="1"/>
  <c r="S203" i="10" s="1"/>
  <c r="K202" i="10"/>
  <c r="H202" i="10" s="1"/>
  <c r="S202" i="10" s="1"/>
  <c r="K201" i="10"/>
  <c r="H201" i="10" s="1"/>
  <c r="S201" i="10" s="1"/>
  <c r="K200" i="10"/>
  <c r="H200" i="10" s="1"/>
  <c r="S200" i="10" s="1"/>
  <c r="J199" i="10"/>
  <c r="H199" i="10" s="1"/>
  <c r="S199" i="10" s="1"/>
  <c r="I198" i="10"/>
  <c r="H198" i="10" s="1"/>
  <c r="S198" i="10" s="1"/>
  <c r="I197" i="10"/>
  <c r="H197" i="10" s="1"/>
  <c r="S197" i="10" s="1"/>
  <c r="I196" i="10"/>
  <c r="H196" i="10" s="1"/>
  <c r="S196" i="10" s="1"/>
  <c r="J195" i="10"/>
  <c r="H195" i="10" s="1"/>
  <c r="S195" i="10" s="1"/>
  <c r="K194" i="10"/>
  <c r="H194" i="10" s="1"/>
  <c r="S194" i="10" s="1"/>
  <c r="K193" i="10"/>
  <c r="H193" i="10" s="1"/>
  <c r="S193" i="10" s="1"/>
  <c r="M192" i="10"/>
  <c r="K192" i="10"/>
  <c r="I192" i="10"/>
  <c r="M191" i="10"/>
  <c r="H191" i="10" s="1"/>
  <c r="S191" i="10" s="1"/>
  <c r="J190" i="10"/>
  <c r="H190" i="10" s="1"/>
  <c r="S190" i="10" s="1"/>
  <c r="K189" i="10"/>
  <c r="H189" i="10" s="1"/>
  <c r="S189" i="10" s="1"/>
  <c r="J188" i="10"/>
  <c r="H188" i="10" s="1"/>
  <c r="S188" i="10" s="1"/>
  <c r="M187" i="10"/>
  <c r="K187" i="10"/>
  <c r="N186" i="10"/>
  <c r="I186" i="10"/>
  <c r="H186" i="10" s="1"/>
  <c r="S186" i="10" s="1"/>
  <c r="I185" i="10"/>
  <c r="H185" i="10" s="1"/>
  <c r="S185" i="10" s="1"/>
  <c r="J184" i="10"/>
  <c r="H184" i="10" s="1"/>
  <c r="S184" i="10" s="1"/>
  <c r="K183" i="10"/>
  <c r="H183" i="10" s="1"/>
  <c r="S183" i="10" s="1"/>
  <c r="K182" i="10"/>
  <c r="H182" i="10" s="1"/>
  <c r="S182" i="10" s="1"/>
  <c r="K181" i="10"/>
  <c r="H181" i="10" s="1"/>
  <c r="S181" i="10" s="1"/>
  <c r="K180" i="10"/>
  <c r="H180" i="10" s="1"/>
  <c r="S180" i="10" s="1"/>
  <c r="K179" i="10"/>
  <c r="H179" i="10" s="1"/>
  <c r="S179" i="10" s="1"/>
  <c r="I178" i="10"/>
  <c r="H178" i="10" s="1"/>
  <c r="S178" i="10" s="1"/>
  <c r="K177" i="10"/>
  <c r="I177" i="10"/>
  <c r="K176" i="10"/>
  <c r="H176" i="10" s="1"/>
  <c r="S176" i="10" s="1"/>
  <c r="K175" i="10"/>
  <c r="I175" i="10"/>
  <c r="I174" i="10"/>
  <c r="H174" i="10" s="1"/>
  <c r="S174" i="10" s="1"/>
  <c r="K173" i="10"/>
  <c r="I173" i="10"/>
  <c r="H173" i="10" s="1"/>
  <c r="S173" i="10" s="1"/>
  <c r="K172" i="10"/>
  <c r="I172" i="10"/>
  <c r="K171" i="10"/>
  <c r="H171" i="10" s="1"/>
  <c r="S171" i="10" s="1"/>
  <c r="K170" i="10"/>
  <c r="H170" i="10" s="1"/>
  <c r="S170" i="10" s="1"/>
  <c r="K169" i="10"/>
  <c r="H169" i="10" s="1"/>
  <c r="S169" i="10" s="1"/>
  <c r="I168" i="10"/>
  <c r="H168" i="10" s="1"/>
  <c r="S168" i="10" s="1"/>
  <c r="M167" i="10"/>
  <c r="K167" i="10"/>
  <c r="I166" i="10"/>
  <c r="H166" i="10" s="1"/>
  <c r="S166" i="10" s="1"/>
  <c r="I165" i="10"/>
  <c r="H165" i="10" s="1"/>
  <c r="S165" i="10" s="1"/>
  <c r="I164" i="10"/>
  <c r="H164" i="10" s="1"/>
  <c r="S164" i="10" s="1"/>
  <c r="I163" i="10"/>
  <c r="H163" i="10" s="1"/>
  <c r="S163" i="10" s="1"/>
  <c r="I162" i="10"/>
  <c r="H162" i="10" s="1"/>
  <c r="S162" i="10" s="1"/>
  <c r="K161" i="10"/>
  <c r="H161" i="10" s="1"/>
  <c r="S161" i="10" s="1"/>
  <c r="M160" i="10"/>
  <c r="H160" i="10" s="1"/>
  <c r="S160" i="10" s="1"/>
  <c r="K159" i="10"/>
  <c r="J159" i="10"/>
  <c r="M158" i="10"/>
  <c r="I158" i="10"/>
  <c r="I157" i="10"/>
  <c r="H157" i="10" s="1"/>
  <c r="S157" i="10" s="1"/>
  <c r="M156" i="10"/>
  <c r="J156" i="10"/>
  <c r="I155" i="10"/>
  <c r="H155" i="10" s="1"/>
  <c r="S155" i="10" s="1"/>
  <c r="O154" i="10"/>
  <c r="M154" i="10"/>
  <c r="K154" i="10"/>
  <c r="O153" i="10"/>
  <c r="M153" i="10"/>
  <c r="I153" i="10"/>
  <c r="I152" i="10"/>
  <c r="H152" i="10" s="1"/>
  <c r="S152" i="10" s="1"/>
  <c r="J151" i="10"/>
  <c r="H151" i="10" s="1"/>
  <c r="S151" i="10" s="1"/>
  <c r="I150" i="10"/>
  <c r="H150" i="10" s="1"/>
  <c r="S150" i="10" s="1"/>
  <c r="O149" i="10"/>
  <c r="O277" i="10" s="1"/>
  <c r="K149" i="10"/>
  <c r="J149" i="10"/>
  <c r="J148" i="10"/>
  <c r="H148" i="10" s="1"/>
  <c r="S148" i="10" s="1"/>
  <c r="J147" i="10"/>
  <c r="I146" i="10"/>
  <c r="H146" i="10" s="1"/>
  <c r="S146" i="10" s="1"/>
  <c r="I145" i="10"/>
  <c r="H145" i="10" s="1"/>
  <c r="S145" i="10" s="1"/>
  <c r="I144" i="10"/>
  <c r="H144" i="10" s="1"/>
  <c r="S144" i="10" s="1"/>
  <c r="M143" i="10"/>
  <c r="H143" i="10" s="1"/>
  <c r="S143" i="10" s="1"/>
  <c r="I142" i="10"/>
  <c r="H142" i="10" s="1"/>
  <c r="S142" i="10" s="1"/>
  <c r="I141" i="10"/>
  <c r="H141" i="10" s="1"/>
  <c r="S141" i="10" s="1"/>
  <c r="I140" i="10"/>
  <c r="H140" i="10" s="1"/>
  <c r="S140" i="10" s="1"/>
  <c r="M139" i="10"/>
  <c r="H139" i="10" s="1"/>
  <c r="S139" i="10" s="1"/>
  <c r="H138" i="10"/>
  <c r="S138" i="10" s="1"/>
  <c r="M137" i="10"/>
  <c r="K137" i="10"/>
  <c r="M136" i="10"/>
  <c r="H136" i="10" s="1"/>
  <c r="S136" i="10" s="1"/>
  <c r="H135" i="10"/>
  <c r="S135" i="10" s="1"/>
  <c r="H134" i="10"/>
  <c r="S134" i="10" s="1"/>
  <c r="M133" i="10"/>
  <c r="H133" i="10" s="1"/>
  <c r="S133" i="10" s="1"/>
  <c r="I132" i="10"/>
  <c r="H132" i="10" s="1"/>
  <c r="S132" i="10" s="1"/>
  <c r="M131" i="10"/>
  <c r="H131" i="10" s="1"/>
  <c r="S131" i="10" s="1"/>
  <c r="M130" i="10"/>
  <c r="H130" i="10" s="1"/>
  <c r="S130" i="10" s="1"/>
  <c r="M129" i="10"/>
  <c r="H129" i="10" s="1"/>
  <c r="S129" i="10" s="1"/>
  <c r="H128" i="10"/>
  <c r="S128" i="10" s="1"/>
  <c r="M127" i="10"/>
  <c r="K127" i="10"/>
  <c r="I126" i="10"/>
  <c r="H126" i="10" s="1"/>
  <c r="S126" i="10" s="1"/>
  <c r="M125" i="10"/>
  <c r="H125" i="10" s="1"/>
  <c r="S125" i="10" s="1"/>
  <c r="K124" i="10"/>
  <c r="H124" i="10" s="1"/>
  <c r="S124" i="10" s="1"/>
  <c r="G124" i="10"/>
  <c r="F124" i="10"/>
  <c r="I123" i="10"/>
  <c r="H123" i="10" s="1"/>
  <c r="S123" i="10" s="1"/>
  <c r="G123" i="10"/>
  <c r="F123" i="10"/>
  <c r="M122" i="10"/>
  <c r="K122" i="10"/>
  <c r="M121" i="10"/>
  <c r="H121" i="10" s="1"/>
  <c r="S121" i="10" s="1"/>
  <c r="I120" i="10"/>
  <c r="G120" i="10"/>
  <c r="F120" i="10"/>
  <c r="M119" i="10"/>
  <c r="H119" i="10" s="1"/>
  <c r="S119" i="10" s="1"/>
  <c r="H118" i="10"/>
  <c r="S118" i="10" s="1"/>
  <c r="H117" i="10"/>
  <c r="S117" i="10" s="1"/>
  <c r="K116" i="10"/>
  <c r="H116" i="10" s="1"/>
  <c r="S116" i="10" s="1"/>
  <c r="M115" i="10"/>
  <c r="K115" i="10"/>
  <c r="H114" i="10"/>
  <c r="S114" i="10" s="1"/>
  <c r="M113" i="10"/>
  <c r="K113" i="10"/>
  <c r="H112" i="10"/>
  <c r="S112" i="10" s="1"/>
  <c r="N111" i="10"/>
  <c r="K111" i="10"/>
  <c r="F111" i="10"/>
  <c r="K110" i="10"/>
  <c r="H110" i="10" s="1"/>
  <c r="S110" i="10" s="1"/>
  <c r="M109" i="10"/>
  <c r="H109" i="10" s="1"/>
  <c r="S109" i="10" s="1"/>
  <c r="H108" i="10"/>
  <c r="S108" i="10" s="1"/>
  <c r="M107" i="10"/>
  <c r="K107" i="10"/>
  <c r="H106" i="10"/>
  <c r="S106" i="10" s="1"/>
  <c r="M105" i="10"/>
  <c r="K105" i="10"/>
  <c r="K104" i="10"/>
  <c r="H104" i="10" s="1"/>
  <c r="S104" i="10" s="1"/>
  <c r="F104" i="10"/>
  <c r="H103" i="10"/>
  <c r="S103" i="10" s="1"/>
  <c r="M102" i="10"/>
  <c r="K102" i="10"/>
  <c r="H101" i="10"/>
  <c r="S101" i="10" s="1"/>
  <c r="H100" i="10"/>
  <c r="S100" i="10" s="1"/>
  <c r="M99" i="10"/>
  <c r="H99" i="10" s="1"/>
  <c r="S99" i="10" s="1"/>
  <c r="M98" i="10"/>
  <c r="K98" i="10"/>
  <c r="M97" i="10"/>
  <c r="H97" i="10" s="1"/>
  <c r="S97" i="10" s="1"/>
  <c r="H96" i="10"/>
  <c r="S96" i="10" s="1"/>
  <c r="M95" i="10"/>
  <c r="K95" i="10"/>
  <c r="M94" i="10"/>
  <c r="H94" i="10" s="1"/>
  <c r="S94" i="10" s="1"/>
  <c r="H93" i="10"/>
  <c r="S93" i="10" s="1"/>
  <c r="M92" i="10"/>
  <c r="H92" i="10" s="1"/>
  <c r="S92" i="10" s="1"/>
  <c r="M91" i="10"/>
  <c r="K91" i="10"/>
  <c r="M90" i="10"/>
  <c r="H90" i="10" s="1"/>
  <c r="S90" i="10" s="1"/>
  <c r="M89" i="10"/>
  <c r="N88" i="10"/>
  <c r="G88" i="10"/>
  <c r="F88" i="10"/>
  <c r="H137" i="10" l="1"/>
  <c r="S137" i="10" s="1"/>
  <c r="G277" i="10"/>
  <c r="F277" i="10"/>
  <c r="H271" i="10"/>
  <c r="S271" i="10" s="1"/>
  <c r="H120" i="10"/>
  <c r="S120" i="10" s="1"/>
  <c r="I277" i="10"/>
  <c r="H88" i="10"/>
  <c r="N277" i="10"/>
  <c r="H147" i="10"/>
  <c r="S147" i="10" s="1"/>
  <c r="J277" i="10"/>
  <c r="H89" i="10"/>
  <c r="S89" i="10" s="1"/>
  <c r="M277" i="10"/>
  <c r="K277" i="10"/>
  <c r="H265" i="10"/>
  <c r="S265" i="10" s="1"/>
  <c r="H187" i="10"/>
  <c r="S187" i="10" s="1"/>
  <c r="H98" i="10"/>
  <c r="S98" i="10" s="1"/>
  <c r="H102" i="10"/>
  <c r="S102" i="10" s="1"/>
  <c r="H127" i="10"/>
  <c r="S127" i="10" s="1"/>
  <c r="H192" i="10"/>
  <c r="S192" i="10" s="1"/>
  <c r="H158" i="10"/>
  <c r="S158" i="10" s="1"/>
  <c r="H259" i="10"/>
  <c r="S259" i="10" s="1"/>
  <c r="H95" i="10"/>
  <c r="S95" i="10" s="1"/>
  <c r="H175" i="10"/>
  <c r="S175" i="10" s="1"/>
  <c r="H177" i="10"/>
  <c r="S177" i="10" s="1"/>
  <c r="H231" i="10"/>
  <c r="S231" i="10" s="1"/>
  <c r="H242" i="10"/>
  <c r="S242" i="10" s="1"/>
  <c r="H115" i="10"/>
  <c r="S115" i="10" s="1"/>
  <c r="H153" i="10"/>
  <c r="S153" i="10" s="1"/>
  <c r="H105" i="10"/>
  <c r="S105" i="10" s="1"/>
  <c r="H223" i="10"/>
  <c r="S223" i="10" s="1"/>
  <c r="H91" i="10"/>
  <c r="S91" i="10" s="1"/>
  <c r="H107" i="10"/>
  <c r="S107" i="10" s="1"/>
  <c r="H111" i="10"/>
  <c r="S111" i="10" s="1"/>
  <c r="H113" i="10"/>
  <c r="S113" i="10" s="1"/>
  <c r="H122" i="10"/>
  <c r="S122" i="10" s="1"/>
  <c r="H154" i="10"/>
  <c r="S154" i="10" s="1"/>
  <c r="H156" i="10"/>
  <c r="S156" i="10" s="1"/>
  <c r="H172" i="10"/>
  <c r="S172" i="10" s="1"/>
  <c r="H216" i="10"/>
  <c r="S216" i="10" s="1"/>
  <c r="H220" i="10"/>
  <c r="S220" i="10" s="1"/>
  <c r="H224" i="10"/>
  <c r="S224" i="10" s="1"/>
  <c r="H149" i="10"/>
  <c r="S149" i="10" s="1"/>
  <c r="H159" i="10"/>
  <c r="S159" i="10" s="1"/>
  <c r="H167" i="10"/>
  <c r="S167" i="10" s="1"/>
  <c r="S88" i="10" l="1"/>
  <c r="S277" i="10" s="1"/>
  <c r="H277" i="10"/>
  <c r="O491" i="10"/>
  <c r="K491" i="10"/>
  <c r="I491" i="10"/>
  <c r="H491" i="10" s="1"/>
  <c r="S491" i="10" s="1"/>
  <c r="V548" i="10"/>
  <c r="V549" i="10" s="1"/>
  <c r="V536" i="10" l="1"/>
  <c r="V537" i="10" s="1"/>
  <c r="V516" i="10"/>
  <c r="V517" i="10" s="1"/>
  <c r="V518" i="10" s="1"/>
  <c r="V519" i="10" s="1"/>
  <c r="V520" i="10" s="1"/>
  <c r="V521" i="10" s="1"/>
  <c r="V522" i="10" s="1"/>
  <c r="V523" i="10" s="1"/>
  <c r="V524" i="10" s="1"/>
  <c r="V525" i="10" s="1"/>
  <c r="V526" i="10" s="1"/>
  <c r="V527" i="10" s="1"/>
  <c r="V528" i="10" s="1"/>
  <c r="V529" i="10" s="1"/>
  <c r="V530" i="10" s="1"/>
  <c r="V531" i="10" s="1"/>
  <c r="V532" i="10" s="1"/>
  <c r="V492" i="10"/>
  <c r="V493" i="10" s="1"/>
  <c r="V494" i="10" s="1"/>
  <c r="V495" i="10" s="1"/>
  <c r="V496" i="10" s="1"/>
  <c r="V497" i="10" s="1"/>
  <c r="V498" i="10" s="1"/>
  <c r="V499" i="10" s="1"/>
  <c r="V500" i="10" s="1"/>
  <c r="V501" i="10" s="1"/>
  <c r="V502" i="10" s="1"/>
  <c r="V503" i="10" s="1"/>
  <c r="V504" i="10" s="1"/>
  <c r="V505" i="10" s="1"/>
  <c r="V506" i="10" s="1"/>
  <c r="V507" i="10" s="1"/>
  <c r="V508" i="10" s="1"/>
  <c r="V484" i="10"/>
  <c r="V485" i="10" s="1"/>
  <c r="V458" i="10"/>
  <c r="V459" i="10" s="1"/>
  <c r="V460" i="10" s="1"/>
  <c r="V461" i="10" s="1"/>
  <c r="V449" i="10"/>
  <c r="V450" i="10" s="1"/>
  <c r="V451" i="10" s="1"/>
  <c r="V452" i="10" s="1"/>
  <c r="V453" i="10" s="1"/>
  <c r="V445" i="10"/>
  <c r="V435" i="10"/>
  <c r="V436" i="10" s="1"/>
  <c r="V437" i="10" s="1"/>
  <c r="V438" i="10" s="1"/>
  <c r="V439" i="10" s="1"/>
  <c r="V440" i="10" s="1"/>
  <c r="V441" i="10" s="1"/>
  <c r="V431" i="10"/>
  <c r="V415" i="10"/>
  <c r="V416" i="10" s="1"/>
  <c r="V417" i="10" s="1"/>
  <c r="V418" i="10" s="1"/>
  <c r="V419" i="10" s="1"/>
  <c r="V420" i="10" s="1"/>
  <c r="V421" i="10" s="1"/>
  <c r="V422" i="10" s="1"/>
  <c r="V412" i="10"/>
  <c r="V413" i="10" s="1"/>
  <c r="V404" i="10"/>
  <c r="V405" i="10" s="1"/>
  <c r="V406" i="10" s="1"/>
  <c r="V407" i="10" s="1"/>
  <c r="V408" i="10" s="1"/>
  <c r="V400" i="10"/>
  <c r="V40" i="10" l="1"/>
  <c r="V41" i="10" s="1"/>
  <c r="V42" i="10" s="1"/>
  <c r="V43" i="10" s="1"/>
  <c r="V44" i="10" s="1"/>
  <c r="V45" i="10" s="1"/>
  <c r="V46" i="10" s="1"/>
  <c r="K43" i="10" l="1"/>
  <c r="K42" i="10"/>
  <c r="J550" i="10" l="1"/>
  <c r="L550" i="10"/>
  <c r="O550" i="10"/>
  <c r="P550" i="10"/>
  <c r="Q550" i="10"/>
  <c r="R550" i="10"/>
  <c r="G550" i="10"/>
  <c r="N546" i="10"/>
  <c r="H546" i="10" s="1"/>
  <c r="S546" i="10" s="1"/>
  <c r="F546" i="10"/>
  <c r="N545" i="10"/>
  <c r="H545" i="10" s="1"/>
  <c r="S545" i="10" s="1"/>
  <c r="I544" i="10"/>
  <c r="H544" i="10" s="1"/>
  <c r="S544" i="10" s="1"/>
  <c r="I543" i="10"/>
  <c r="H543" i="10" s="1"/>
  <c r="S543" i="10" s="1"/>
  <c r="F543" i="10"/>
  <c r="F550" i="10" s="1"/>
  <c r="V542" i="10"/>
  <c r="V543" i="10" s="1"/>
  <c r="V544" i="10" s="1"/>
  <c r="V545" i="10" s="1"/>
  <c r="V546" i="10" s="1"/>
  <c r="M542" i="10"/>
  <c r="I542" i="10"/>
  <c r="M541" i="10"/>
  <c r="I541" i="10"/>
  <c r="J533" i="10"/>
  <c r="L533" i="10"/>
  <c r="O533" i="10"/>
  <c r="P533" i="10"/>
  <c r="Q533" i="10"/>
  <c r="R533" i="10"/>
  <c r="I514" i="10"/>
  <c r="H514" i="10" s="1"/>
  <c r="S514" i="10" s="1"/>
  <c r="M513" i="10"/>
  <c r="H513" i="10" s="1"/>
  <c r="S513" i="10" s="1"/>
  <c r="V512" i="10"/>
  <c r="V513" i="10" s="1"/>
  <c r="V514" i="10" s="1"/>
  <c r="F512" i="10"/>
  <c r="G512" i="10" s="1"/>
  <c r="I511" i="10"/>
  <c r="H511" i="10" s="1"/>
  <c r="S511" i="10" s="1"/>
  <c r="F511" i="10"/>
  <c r="F533" i="10" s="1"/>
  <c r="L509" i="10"/>
  <c r="N509" i="10"/>
  <c r="O509" i="10"/>
  <c r="P509" i="10"/>
  <c r="Q509" i="10"/>
  <c r="R509" i="10"/>
  <c r="G509" i="10"/>
  <c r="F509" i="10"/>
  <c r="M490" i="10"/>
  <c r="M509" i="10" s="1"/>
  <c r="K490" i="10"/>
  <c r="K509" i="10" s="1"/>
  <c r="I490" i="10"/>
  <c r="J486" i="10"/>
  <c r="L486" i="10"/>
  <c r="O486" i="10"/>
  <c r="P486" i="10"/>
  <c r="Q486" i="10"/>
  <c r="R486" i="10"/>
  <c r="G486" i="10"/>
  <c r="F486" i="10"/>
  <c r="V482" i="10"/>
  <c r="N482" i="10"/>
  <c r="M482" i="10"/>
  <c r="K482" i="10"/>
  <c r="I482" i="10"/>
  <c r="N481" i="10"/>
  <c r="N486" i="10" s="1"/>
  <c r="M481" i="10"/>
  <c r="K481" i="10"/>
  <c r="I481" i="10"/>
  <c r="I466" i="10"/>
  <c r="J466" i="10"/>
  <c r="L466" i="10"/>
  <c r="M466" i="10"/>
  <c r="N466" i="10"/>
  <c r="O466" i="10"/>
  <c r="P466" i="10"/>
  <c r="Q466" i="10"/>
  <c r="R466" i="10"/>
  <c r="G466" i="10"/>
  <c r="F466" i="10"/>
  <c r="K464" i="10"/>
  <c r="H464" i="10" s="1"/>
  <c r="S464" i="10" s="1"/>
  <c r="I462" i="10"/>
  <c r="L462" i="10"/>
  <c r="N462" i="10"/>
  <c r="O462" i="10"/>
  <c r="P462" i="10"/>
  <c r="Q462" i="10"/>
  <c r="R462" i="10"/>
  <c r="G462" i="10"/>
  <c r="F462" i="10"/>
  <c r="M456" i="10"/>
  <c r="H456" i="10" s="1"/>
  <c r="S456" i="10" s="1"/>
  <c r="J423" i="10"/>
  <c r="L423" i="10"/>
  <c r="N423" i="10"/>
  <c r="O423" i="10"/>
  <c r="P423" i="10"/>
  <c r="Q423" i="10"/>
  <c r="R423" i="10"/>
  <c r="F423" i="10"/>
  <c r="K413" i="10"/>
  <c r="H413" i="10" s="1"/>
  <c r="S413" i="10" s="1"/>
  <c r="M550" i="10" l="1"/>
  <c r="H481" i="10"/>
  <c r="S481" i="10" s="1"/>
  <c r="H482" i="10"/>
  <c r="S482" i="10" s="1"/>
  <c r="M462" i="10"/>
  <c r="H542" i="10"/>
  <c r="S542" i="10" s="1"/>
  <c r="H541" i="10"/>
  <c r="S541" i="10" s="1"/>
  <c r="M512" i="10"/>
  <c r="G533" i="10"/>
  <c r="N550" i="10"/>
  <c r="H490" i="10"/>
  <c r="I550" i="10"/>
  <c r="I392" i="10"/>
  <c r="I307" i="10"/>
  <c r="I306" i="10"/>
  <c r="I304" i="10"/>
  <c r="I79" i="10"/>
  <c r="I77" i="10"/>
  <c r="M284" i="10"/>
  <c r="K284" i="10"/>
  <c r="H283" i="10"/>
  <c r="S283" i="10" s="1"/>
  <c r="N281" i="10"/>
  <c r="M281" i="10"/>
  <c r="L281" i="10"/>
  <c r="V280" i="10"/>
  <c r="V281" i="10" s="1"/>
  <c r="V282" i="10" s="1"/>
  <c r="V283" i="10" s="1"/>
  <c r="V284" i="10" s="1"/>
  <c r="N280" i="10"/>
  <c r="M280" i="10"/>
  <c r="L280" i="10"/>
  <c r="N279" i="10"/>
  <c r="M279" i="10"/>
  <c r="L279" i="10"/>
  <c r="V89" i="10"/>
  <c r="V90" i="10" s="1"/>
  <c r="V91" i="10" s="1"/>
  <c r="V92" i="10" s="1"/>
  <c r="V93" i="10" s="1"/>
  <c r="V94" i="10" s="1"/>
  <c r="V95" i="10" s="1"/>
  <c r="V96" i="10" s="1"/>
  <c r="V97" i="10" s="1"/>
  <c r="V98" i="10" s="1"/>
  <c r="V99" i="10" s="1"/>
  <c r="V100" i="10" s="1"/>
  <c r="V101" i="10" s="1"/>
  <c r="V102" i="10" s="1"/>
  <c r="V103" i="10" s="1"/>
  <c r="V104" i="10" s="1"/>
  <c r="V105" i="10" s="1"/>
  <c r="V106" i="10" s="1"/>
  <c r="V107" i="10" s="1"/>
  <c r="V108" i="10" s="1"/>
  <c r="V109" i="10" s="1"/>
  <c r="V110" i="10" s="1"/>
  <c r="V111" i="10" s="1"/>
  <c r="V112" i="10" s="1"/>
  <c r="V113" i="10" s="1"/>
  <c r="V114" i="10" s="1"/>
  <c r="V115" i="10" s="1"/>
  <c r="V116" i="10" s="1"/>
  <c r="V117" i="10" s="1"/>
  <c r="V118" i="10" s="1"/>
  <c r="V119" i="10" s="1"/>
  <c r="V120" i="10" s="1"/>
  <c r="V121" i="10" s="1"/>
  <c r="V122" i="10" s="1"/>
  <c r="V123" i="10" s="1"/>
  <c r="V124" i="10" s="1"/>
  <c r="V125" i="10" s="1"/>
  <c r="V126" i="10" s="1"/>
  <c r="V127" i="10" s="1"/>
  <c r="V128" i="10" s="1"/>
  <c r="V129" i="10" s="1"/>
  <c r="V130" i="10" s="1"/>
  <c r="V131" i="10" s="1"/>
  <c r="V132" i="10" s="1"/>
  <c r="V133" i="10" s="1"/>
  <c r="V134" i="10" s="1"/>
  <c r="V135" i="10" s="1"/>
  <c r="V136" i="10" s="1"/>
  <c r="V137" i="10" s="1"/>
  <c r="V138" i="10" s="1"/>
  <c r="V139" i="10" s="1"/>
  <c r="V141" i="10"/>
  <c r="V142" i="10" s="1"/>
  <c r="V143" i="10" s="1"/>
  <c r="V144" i="10" s="1"/>
  <c r="V145" i="10" s="1"/>
  <c r="V146" i="10" s="1"/>
  <c r="V147" i="10" s="1"/>
  <c r="V148" i="10" s="1"/>
  <c r="V149" i="10" s="1"/>
  <c r="V150" i="10" s="1"/>
  <c r="V151" i="10" s="1"/>
  <c r="V152" i="10" s="1"/>
  <c r="V153" i="10" s="1"/>
  <c r="V154" i="10" s="1"/>
  <c r="V155" i="10" s="1"/>
  <c r="V156" i="10" s="1"/>
  <c r="V157" i="10" s="1"/>
  <c r="V158" i="10" s="1"/>
  <c r="V159" i="10" s="1"/>
  <c r="V160" i="10" s="1"/>
  <c r="V161" i="10" s="1"/>
  <c r="V162" i="10" s="1"/>
  <c r="V163" i="10" s="1"/>
  <c r="V164" i="10" s="1"/>
  <c r="V165" i="10" s="1"/>
  <c r="V166" i="10" s="1"/>
  <c r="V167" i="10" s="1"/>
  <c r="V168" i="10" s="1"/>
  <c r="V169" i="10" s="1"/>
  <c r="V170" i="10" s="1"/>
  <c r="V171" i="10" s="1"/>
  <c r="V172" i="10" s="1"/>
  <c r="V173" i="10" s="1"/>
  <c r="V174" i="10" s="1"/>
  <c r="V175" i="10" s="1"/>
  <c r="V176" i="10" s="1"/>
  <c r="V177" i="10" s="1"/>
  <c r="V178" i="10" s="1"/>
  <c r="V179" i="10" s="1"/>
  <c r="V180" i="10" s="1"/>
  <c r="V181" i="10" s="1"/>
  <c r="V182" i="10" s="1"/>
  <c r="V183" i="10" s="1"/>
  <c r="V184" i="10" s="1"/>
  <c r="V185" i="10" s="1"/>
  <c r="V186" i="10" s="1"/>
  <c r="V187" i="10" s="1"/>
  <c r="V188" i="10" s="1"/>
  <c r="V189" i="10" s="1"/>
  <c r="V190" i="10" s="1"/>
  <c r="V191" i="10" s="1"/>
  <c r="V192" i="10" s="1"/>
  <c r="V193" i="10" s="1"/>
  <c r="V194" i="10" s="1"/>
  <c r="V195" i="10" s="1"/>
  <c r="V196" i="10" s="1"/>
  <c r="V197" i="10" s="1"/>
  <c r="V198" i="10" s="1"/>
  <c r="V199" i="10" s="1"/>
  <c r="V200" i="10" s="1"/>
  <c r="V201" i="10" s="1"/>
  <c r="V202" i="10" s="1"/>
  <c r="V203" i="10" s="1"/>
  <c r="V204" i="10" s="1"/>
  <c r="V205" i="10" s="1"/>
  <c r="V206" i="10" s="1"/>
  <c r="V207" i="10" s="1"/>
  <c r="V208" i="10" s="1"/>
  <c r="V209" i="10" s="1"/>
  <c r="V210" i="10" s="1"/>
  <c r="V211" i="10" s="1"/>
  <c r="V212" i="10" s="1"/>
  <c r="V213" i="10" s="1"/>
  <c r="V214" i="10" s="1"/>
  <c r="V215" i="10" s="1"/>
  <c r="V216" i="10" s="1"/>
  <c r="V217" i="10" s="1"/>
  <c r="V218" i="10" s="1"/>
  <c r="V219" i="10" s="1"/>
  <c r="V220" i="10" s="1"/>
  <c r="V221" i="10" s="1"/>
  <c r="V222" i="10" s="1"/>
  <c r="V223" i="10" s="1"/>
  <c r="V224" i="10" s="1"/>
  <c r="V225" i="10" s="1"/>
  <c r="V226" i="10" s="1"/>
  <c r="V227" i="10" s="1"/>
  <c r="V228" i="10" s="1"/>
  <c r="V229" i="10" s="1"/>
  <c r="V230" i="10" s="1"/>
  <c r="V231" i="10" s="1"/>
  <c r="V232" i="10" s="1"/>
  <c r="V233" i="10" s="1"/>
  <c r="V234" i="10" s="1"/>
  <c r="V235" i="10" s="1"/>
  <c r="V236" i="10" s="1"/>
  <c r="V237" i="10" s="1"/>
  <c r="V238" i="10" s="1"/>
  <c r="V239" i="10" s="1"/>
  <c r="V240" i="10" s="1"/>
  <c r="V241" i="10" s="1"/>
  <c r="V242" i="10" s="1"/>
  <c r="V243" i="10" s="1"/>
  <c r="V244" i="10" s="1"/>
  <c r="V245" i="10" s="1"/>
  <c r="V246" i="10" s="1"/>
  <c r="V247" i="10" s="1"/>
  <c r="V248" i="10" s="1"/>
  <c r="V249" i="10" s="1"/>
  <c r="V250" i="10" s="1"/>
  <c r="V251" i="10" s="1"/>
  <c r="V252" i="10" s="1"/>
  <c r="V253" i="10" s="1"/>
  <c r="V254" i="10" s="1"/>
  <c r="V255" i="10" s="1"/>
  <c r="V256" i="10" s="1"/>
  <c r="V257" i="10" s="1"/>
  <c r="V258" i="10" s="1"/>
  <c r="V259" i="10" s="1"/>
  <c r="V260" i="10" s="1"/>
  <c r="V261" i="10" s="1"/>
  <c r="V262" i="10" s="1"/>
  <c r="V263" i="10" s="1"/>
  <c r="V74" i="10"/>
  <c r="V75" i="10" s="1"/>
  <c r="V76" i="10" s="1"/>
  <c r="V77" i="10" s="1"/>
  <c r="V78" i="10" s="1"/>
  <c r="V79" i="10" s="1"/>
  <c r="V80" i="10" s="1"/>
  <c r="V81" i="10" s="1"/>
  <c r="V82" i="10" s="1"/>
  <c r="V83" i="10" s="1"/>
  <c r="V84" i="10" s="1"/>
  <c r="V85" i="10" s="1"/>
  <c r="J86" i="10"/>
  <c r="L86" i="10"/>
  <c r="N86" i="10"/>
  <c r="O86" i="10"/>
  <c r="P86" i="10"/>
  <c r="Q86" i="10"/>
  <c r="R86" i="10"/>
  <c r="G86" i="10"/>
  <c r="F86" i="10"/>
  <c r="H72" i="10"/>
  <c r="S72" i="10" s="1"/>
  <c r="H71" i="10"/>
  <c r="S71" i="10" s="1"/>
  <c r="H70" i="10"/>
  <c r="S70" i="10" s="1"/>
  <c r="H69" i="10"/>
  <c r="S69" i="10" s="1"/>
  <c r="K68" i="10"/>
  <c r="I68" i="10"/>
  <c r="H67" i="10"/>
  <c r="S67" i="10" s="1"/>
  <c r="K66" i="10"/>
  <c r="I66" i="10"/>
  <c r="K65" i="10"/>
  <c r="I65" i="10"/>
  <c r="H64" i="10"/>
  <c r="S64" i="10" s="1"/>
  <c r="I63" i="10"/>
  <c r="H63" i="10" s="1"/>
  <c r="S63" i="10" s="1"/>
  <c r="V62" i="10"/>
  <c r="V63" i="10" s="1"/>
  <c r="V64" i="10" s="1"/>
  <c r="V65" i="10" s="1"/>
  <c r="V66" i="10" s="1"/>
  <c r="V67" i="10" s="1"/>
  <c r="V68" i="10" s="1"/>
  <c r="V69" i="10" s="1"/>
  <c r="V70" i="10" s="1"/>
  <c r="V71" i="10" s="1"/>
  <c r="V72" i="10" s="1"/>
  <c r="K62" i="10"/>
  <c r="H62" i="10" s="1"/>
  <c r="S62" i="10" s="1"/>
  <c r="I61" i="10"/>
  <c r="H61" i="10" s="1"/>
  <c r="S61" i="10" s="1"/>
  <c r="J59" i="10"/>
  <c r="L59" i="10"/>
  <c r="N59" i="10"/>
  <c r="O59" i="10"/>
  <c r="P59" i="10"/>
  <c r="Q59" i="10"/>
  <c r="R59" i="10"/>
  <c r="F59" i="10"/>
  <c r="V54" i="10"/>
  <c r="V55" i="10" s="1"/>
  <c r="V56" i="10" s="1"/>
  <c r="V57" i="10" s="1"/>
  <c r="V58" i="10" s="1"/>
  <c r="H52" i="10"/>
  <c r="S52" i="10" s="1"/>
  <c r="H51" i="10"/>
  <c r="S51" i="10" s="1"/>
  <c r="V50" i="10"/>
  <c r="V51" i="10" s="1"/>
  <c r="V52" i="10" s="1"/>
  <c r="H50" i="10"/>
  <c r="S50" i="10" s="1"/>
  <c r="G49" i="10"/>
  <c r="M49" i="10" s="1"/>
  <c r="L47" i="10"/>
  <c r="N47" i="10"/>
  <c r="O47" i="10"/>
  <c r="P47" i="10"/>
  <c r="Q47" i="10"/>
  <c r="R47" i="10"/>
  <c r="G47" i="10"/>
  <c r="F47" i="10"/>
  <c r="H38" i="10"/>
  <c r="S38" i="10" s="1"/>
  <c r="H37" i="10"/>
  <c r="S37" i="10" s="1"/>
  <c r="V36" i="10"/>
  <c r="V37" i="10" s="1"/>
  <c r="V38" i="10" s="1"/>
  <c r="H36" i="10"/>
  <c r="S36" i="10" s="1"/>
  <c r="H35" i="10"/>
  <c r="S35" i="10" s="1"/>
  <c r="L33" i="10"/>
  <c r="P33" i="10"/>
  <c r="Q33" i="10"/>
  <c r="R33" i="10"/>
  <c r="G33" i="10"/>
  <c r="F33" i="10"/>
  <c r="V22" i="10"/>
  <c r="V23" i="10" s="1"/>
  <c r="V24" i="10" s="1"/>
  <c r="V25" i="10" s="1"/>
  <c r="V26" i="10" s="1"/>
  <c r="V27" i="10" s="1"/>
  <c r="V28" i="10" s="1"/>
  <c r="V29" i="10" s="1"/>
  <c r="V30" i="10" s="1"/>
  <c r="V31" i="10" s="1"/>
  <c r="V32" i="10" s="1"/>
  <c r="K20" i="10"/>
  <c r="H20" i="10" s="1"/>
  <c r="S20" i="10" s="1"/>
  <c r="K19" i="10"/>
  <c r="H19" i="10" s="1"/>
  <c r="S19" i="10" s="1"/>
  <c r="V18" i="10"/>
  <c r="V19" i="10" s="1"/>
  <c r="V20" i="10" s="1"/>
  <c r="K18" i="10"/>
  <c r="H18" i="10" s="1"/>
  <c r="S18" i="10" s="1"/>
  <c r="A18" i="10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N17" i="10"/>
  <c r="N33" i="10" s="1"/>
  <c r="M17" i="10"/>
  <c r="K17" i="10"/>
  <c r="K79" i="10"/>
  <c r="K77" i="10"/>
  <c r="I395" i="10"/>
  <c r="I394" i="10"/>
  <c r="I393" i="10"/>
  <c r="I391" i="10"/>
  <c r="I390" i="10"/>
  <c r="I388" i="10"/>
  <c r="I387" i="10"/>
  <c r="I385" i="10"/>
  <c r="I384" i="10"/>
  <c r="I382" i="10"/>
  <c r="I380" i="10"/>
  <c r="I378" i="10"/>
  <c r="I377" i="10"/>
  <c r="I375" i="10"/>
  <c r="I374" i="10"/>
  <c r="I373" i="10"/>
  <c r="I372" i="10"/>
  <c r="I370" i="10"/>
  <c r="I369" i="10"/>
  <c r="I367" i="10"/>
  <c r="I365" i="10"/>
  <c r="V366" i="10"/>
  <c r="V367" i="10" s="1"/>
  <c r="V368" i="10" s="1"/>
  <c r="V369" i="10" s="1"/>
  <c r="V370" i="10" s="1"/>
  <c r="V371" i="10" s="1"/>
  <c r="V372" i="10" s="1"/>
  <c r="V373" i="10" s="1"/>
  <c r="V374" i="10" s="1"/>
  <c r="V375" i="10" s="1"/>
  <c r="V376" i="10" s="1"/>
  <c r="V377" i="10" s="1"/>
  <c r="V378" i="10" s="1"/>
  <c r="V379" i="10" s="1"/>
  <c r="V380" i="10" s="1"/>
  <c r="V381" i="10" s="1"/>
  <c r="V382" i="10" s="1"/>
  <c r="V383" i="10" s="1"/>
  <c r="V384" i="10" s="1"/>
  <c r="V385" i="10" s="1"/>
  <c r="V386" i="10" s="1"/>
  <c r="V387" i="10" s="1"/>
  <c r="V388" i="10" s="1"/>
  <c r="V389" i="10" s="1"/>
  <c r="V390" i="10" s="1"/>
  <c r="V391" i="10" s="1"/>
  <c r="V392" i="10" s="1"/>
  <c r="V393" i="10" s="1"/>
  <c r="V394" i="10" s="1"/>
  <c r="V395" i="10" s="1"/>
  <c r="I412" i="10"/>
  <c r="H412" i="10" s="1"/>
  <c r="S412" i="10" s="1"/>
  <c r="M323" i="10"/>
  <c r="K340" i="10"/>
  <c r="K338" i="10"/>
  <c r="N293" i="10" l="1"/>
  <c r="V264" i="10"/>
  <c r="V265" i="10" s="1"/>
  <c r="V266" i="10" s="1"/>
  <c r="V267" i="10" s="1"/>
  <c r="V268" i="10" s="1"/>
  <c r="V269" i="10" s="1"/>
  <c r="V270" i="10" s="1"/>
  <c r="V271" i="10" s="1"/>
  <c r="V272" i="10" s="1"/>
  <c r="V273" i="10" s="1"/>
  <c r="V274" i="10" s="1"/>
  <c r="V275" i="10" s="1"/>
  <c r="V276" i="10" s="1"/>
  <c r="V285" i="10" s="1"/>
  <c r="V286" i="10" s="1"/>
  <c r="V287" i="10" s="1"/>
  <c r="V288" i="10" s="1"/>
  <c r="V289" i="10" s="1"/>
  <c r="V290" i="10" s="1"/>
  <c r="V291" i="10" s="1"/>
  <c r="V292" i="10" s="1"/>
  <c r="V295" i="10" s="1"/>
  <c r="V296" i="10" s="1"/>
  <c r="V297" i="10" s="1"/>
  <c r="V298" i="10" s="1"/>
  <c r="V299" i="10" s="1"/>
  <c r="V300" i="10" s="1"/>
  <c r="V301" i="10" s="1"/>
  <c r="V302" i="10" s="1"/>
  <c r="V303" i="10" s="1"/>
  <c r="V304" i="10" s="1"/>
  <c r="V305" i="10" s="1"/>
  <c r="V306" i="10" s="1"/>
  <c r="V307" i="10" s="1"/>
  <c r="V308" i="10" s="1"/>
  <c r="V309" i="10" s="1"/>
  <c r="V310" i="10" s="1"/>
  <c r="V313" i="10" s="1"/>
  <c r="V314" i="10" s="1"/>
  <c r="V315" i="10" s="1"/>
  <c r="V316" i="10" s="1"/>
  <c r="V317" i="10" s="1"/>
  <c r="V318" i="10" s="1"/>
  <c r="V319" i="10" s="1"/>
  <c r="V320" i="10" s="1"/>
  <c r="V321" i="10" s="1"/>
  <c r="V322" i="10" s="1"/>
  <c r="V323" i="10" s="1"/>
  <c r="V324" i="10" s="1"/>
  <c r="V325" i="10" s="1"/>
  <c r="V326" i="10" s="1"/>
  <c r="V327" i="10" s="1"/>
  <c r="V328" i="10" s="1"/>
  <c r="V329" i="10" s="1"/>
  <c r="V330" i="10" s="1"/>
  <c r="V331" i="10" s="1"/>
  <c r="V332" i="10" s="1"/>
  <c r="V333" i="10" s="1"/>
  <c r="V334" i="10" s="1"/>
  <c r="V335" i="10" s="1"/>
  <c r="V336" i="10" s="1"/>
  <c r="V337" i="10" s="1"/>
  <c r="V338" i="10" s="1"/>
  <c r="V339" i="10" s="1"/>
  <c r="V340" i="10" s="1"/>
  <c r="V341" i="10" s="1"/>
  <c r="V342" i="10" s="1"/>
  <c r="V343" i="10" s="1"/>
  <c r="V344" i="10" s="1"/>
  <c r="V345" i="10" s="1"/>
  <c r="V346" i="10" s="1"/>
  <c r="V347" i="10" s="1"/>
  <c r="V348" i="10" s="1"/>
  <c r="V349" i="10" s="1"/>
  <c r="V350" i="10" s="1"/>
  <c r="V351" i="10" s="1"/>
  <c r="V354" i="10" s="1"/>
  <c r="V355" i="10" s="1"/>
  <c r="V358" i="10" s="1"/>
  <c r="V359" i="10" s="1"/>
  <c r="V362" i="10" s="1"/>
  <c r="H68" i="10"/>
  <c r="S68" i="10" s="1"/>
  <c r="H284" i="10"/>
  <c r="S284" i="10" s="1"/>
  <c r="H411" i="10"/>
  <c r="G423" i="10"/>
  <c r="S490" i="10"/>
  <c r="H512" i="10"/>
  <c r="H279" i="10"/>
  <c r="K49" i="10"/>
  <c r="H49" i="10" s="1"/>
  <c r="H65" i="10"/>
  <c r="S65" i="10" s="1"/>
  <c r="G59" i="10"/>
  <c r="H280" i="10"/>
  <c r="S280" i="10" s="1"/>
  <c r="H281" i="10"/>
  <c r="S281" i="10" s="1"/>
  <c r="H17" i="10"/>
  <c r="S17" i="10" s="1"/>
  <c r="M47" i="10"/>
  <c r="H66" i="10"/>
  <c r="S66" i="10" s="1"/>
  <c r="K344" i="10"/>
  <c r="M332" i="10"/>
  <c r="S279" i="10" l="1"/>
  <c r="S411" i="10"/>
  <c r="S512" i="10"/>
  <c r="S49" i="10"/>
  <c r="K325" i="10"/>
  <c r="I346" i="10"/>
  <c r="M349" i="10"/>
  <c r="K343" i="10"/>
  <c r="H322" i="10"/>
  <c r="S322" i="10" s="1"/>
  <c r="M320" i="10"/>
  <c r="M324" i="10"/>
  <c r="M315" i="10"/>
  <c r="K319" i="10"/>
  <c r="K314" i="10"/>
  <c r="H42" i="10"/>
  <c r="S42" i="10" l="1"/>
  <c r="I351" i="10" l="1"/>
  <c r="H351" i="10" s="1"/>
  <c r="S351" i="10" s="1"/>
  <c r="H350" i="10"/>
  <c r="S350" i="10" s="1"/>
  <c r="H349" i="10"/>
  <c r="S349" i="10" s="1"/>
  <c r="H348" i="10"/>
  <c r="S348" i="10" s="1"/>
  <c r="H347" i="10"/>
  <c r="S347" i="10" s="1"/>
  <c r="H346" i="10"/>
  <c r="S346" i="10" s="1"/>
  <c r="H345" i="10"/>
  <c r="S345" i="10" s="1"/>
  <c r="H344" i="10"/>
  <c r="S344" i="10" s="1"/>
  <c r="H343" i="10"/>
  <c r="S343" i="10" s="1"/>
  <c r="I342" i="10"/>
  <c r="H342" i="10" s="1"/>
  <c r="S342" i="10" s="1"/>
  <c r="I341" i="10"/>
  <c r="H341" i="10" s="1"/>
  <c r="S341" i="10" s="1"/>
  <c r="H340" i="10"/>
  <c r="S340" i="10" s="1"/>
  <c r="I339" i="10"/>
  <c r="H339" i="10" s="1"/>
  <c r="S339" i="10" s="1"/>
  <c r="H338" i="10"/>
  <c r="S338" i="10" s="1"/>
  <c r="H337" i="10"/>
  <c r="S337" i="10" s="1"/>
  <c r="H336" i="10"/>
  <c r="S336" i="10" s="1"/>
  <c r="H335" i="10"/>
  <c r="S335" i="10" s="1"/>
  <c r="I334" i="10"/>
  <c r="H334" i="10" s="1"/>
  <c r="S334" i="10" s="1"/>
  <c r="I333" i="10"/>
  <c r="H333" i="10" s="1"/>
  <c r="S333" i="10" s="1"/>
  <c r="H332" i="10"/>
  <c r="S332" i="10" s="1"/>
  <c r="I331" i="10"/>
  <c r="H331" i="10" s="1"/>
  <c r="S331" i="10" s="1"/>
  <c r="I330" i="10"/>
  <c r="H330" i="10" s="1"/>
  <c r="S330" i="10" s="1"/>
  <c r="I329" i="10"/>
  <c r="H329" i="10" s="1"/>
  <c r="S329" i="10" s="1"/>
  <c r="M328" i="10"/>
  <c r="H328" i="10" s="1"/>
  <c r="S328" i="10" s="1"/>
  <c r="I327" i="10"/>
  <c r="H327" i="10" s="1"/>
  <c r="S327" i="10" s="1"/>
  <c r="H326" i="10"/>
  <c r="S326" i="10" s="1"/>
  <c r="H325" i="10"/>
  <c r="S325" i="10" s="1"/>
  <c r="H324" i="10"/>
  <c r="S324" i="10" s="1"/>
  <c r="H323" i="10"/>
  <c r="S323" i="10" s="1"/>
  <c r="G323" i="10"/>
  <c r="H321" i="10"/>
  <c r="S321" i="10" s="1"/>
  <c r="H320" i="10"/>
  <c r="S320" i="10" s="1"/>
  <c r="G320" i="10"/>
  <c r="H319" i="10"/>
  <c r="S319" i="10" s="1"/>
  <c r="H318" i="10"/>
  <c r="S318" i="10" s="1"/>
  <c r="H317" i="10"/>
  <c r="S317" i="10" s="1"/>
  <c r="H316" i="10"/>
  <c r="S316" i="10" s="1"/>
  <c r="H315" i="10"/>
  <c r="S315" i="10" s="1"/>
  <c r="H314" i="10"/>
  <c r="S314" i="10" s="1"/>
  <c r="M313" i="10"/>
  <c r="H313" i="10" s="1"/>
  <c r="S313" i="10" s="1"/>
  <c r="G313" i="10"/>
  <c r="J386" i="10" l="1"/>
  <c r="J383" i="10"/>
  <c r="J368" i="10"/>
  <c r="J366" i="10"/>
  <c r="J508" i="10"/>
  <c r="J509" i="10" s="1"/>
  <c r="J460" i="10"/>
  <c r="J462" i="10" s="1"/>
  <c r="J449" i="10"/>
  <c r="J358" i="10"/>
  <c r="J299" i="10"/>
  <c r="J298" i="10"/>
  <c r="J291" i="10"/>
  <c r="J293" i="10" s="1"/>
  <c r="J45" i="10"/>
  <c r="O32" i="10"/>
  <c r="J32" i="10"/>
  <c r="O29" i="10"/>
  <c r="J29" i="10"/>
  <c r="AA29" i="10" s="1"/>
  <c r="O21" i="10"/>
  <c r="J21" i="10"/>
  <c r="AA45" i="10" l="1"/>
  <c r="J47" i="10"/>
  <c r="O33" i="10"/>
  <c r="AA21" i="10"/>
  <c r="J33" i="10"/>
  <c r="W275" i="10"/>
  <c r="X275" i="10"/>
  <c r="Y275" i="10"/>
  <c r="Y346" i="10"/>
  <c r="Y347" i="10"/>
  <c r="Y333" i="10"/>
  <c r="Y341" i="10"/>
  <c r="Y342" i="10"/>
  <c r="Y327" i="10"/>
  <c r="Y330" i="10"/>
  <c r="Y334" i="10"/>
  <c r="Y331" i="10"/>
  <c r="Y339" i="10"/>
  <c r="Y329" i="10"/>
  <c r="Y471" i="10"/>
  <c r="Z471" i="10"/>
  <c r="Y472" i="10"/>
  <c r="Y483" i="10"/>
  <c r="Y484" i="10"/>
  <c r="Y485" i="10"/>
  <c r="M392" i="10" l="1"/>
  <c r="M305" i="10"/>
  <c r="K305" i="10"/>
  <c r="N301" i="10"/>
  <c r="M301" i="10"/>
  <c r="L286" i="10"/>
  <c r="L293" i="10" s="1"/>
  <c r="I286" i="10"/>
  <c r="M83" i="10"/>
  <c r="I83" i="10"/>
  <c r="M300" i="10" l="1"/>
  <c r="K359" i="10"/>
  <c r="H359" i="10" l="1"/>
  <c r="S359" i="10" s="1"/>
  <c r="R538" i="10" l="1"/>
  <c r="R539" i="10" s="1"/>
  <c r="Q538" i="10"/>
  <c r="Q539" i="10" s="1"/>
  <c r="P538" i="10"/>
  <c r="P539" i="10" s="1"/>
  <c r="K381" i="10" l="1"/>
  <c r="L536" i="10" l="1"/>
  <c r="L538" i="10" s="1"/>
  <c r="L539" i="10" s="1"/>
  <c r="I535" i="10"/>
  <c r="I537" i="10"/>
  <c r="J538" i="10"/>
  <c r="J539" i="10" s="1"/>
  <c r="K538" i="10"/>
  <c r="M538" i="10"/>
  <c r="N538" i="10"/>
  <c r="O538" i="10"/>
  <c r="O539" i="10" s="1"/>
  <c r="K549" i="10"/>
  <c r="K548" i="10"/>
  <c r="K547" i="10"/>
  <c r="I532" i="10"/>
  <c r="I531" i="10"/>
  <c r="I522" i="10"/>
  <c r="I521" i="10"/>
  <c r="M520" i="10"/>
  <c r="I526" i="10"/>
  <c r="M528" i="10"/>
  <c r="I516" i="10"/>
  <c r="I518" i="10"/>
  <c r="I529" i="10"/>
  <c r="N519" i="10"/>
  <c r="M517" i="10"/>
  <c r="K523" i="10"/>
  <c r="K533" i="10" s="1"/>
  <c r="K539" i="10" s="1"/>
  <c r="N527" i="10"/>
  <c r="I525" i="10"/>
  <c r="I515" i="10"/>
  <c r="I530" i="10"/>
  <c r="I524" i="10"/>
  <c r="I492" i="10"/>
  <c r="I507" i="10"/>
  <c r="I506" i="10"/>
  <c r="I504" i="10"/>
  <c r="I503" i="10"/>
  <c r="I505" i="10"/>
  <c r="I502" i="10"/>
  <c r="I501" i="10"/>
  <c r="I499" i="10"/>
  <c r="I500" i="10"/>
  <c r="I498" i="10"/>
  <c r="I497" i="10"/>
  <c r="I495" i="10"/>
  <c r="I494" i="10"/>
  <c r="I496" i="10"/>
  <c r="I493" i="10"/>
  <c r="K485" i="10"/>
  <c r="M484" i="10"/>
  <c r="K484" i="10"/>
  <c r="I484" i="10"/>
  <c r="M483" i="10"/>
  <c r="K483" i="10"/>
  <c r="I483" i="10"/>
  <c r="I477" i="10"/>
  <c r="N478" i="10"/>
  <c r="M478" i="10"/>
  <c r="K478" i="10"/>
  <c r="I478" i="10"/>
  <c r="K472" i="10"/>
  <c r="K471" i="10"/>
  <c r="M468" i="10"/>
  <c r="K465" i="10"/>
  <c r="K466" i="10" s="1"/>
  <c r="K457" i="10"/>
  <c r="K461" i="10"/>
  <c r="K458" i="10"/>
  <c r="K459" i="10"/>
  <c r="I453" i="10"/>
  <c r="I450" i="10"/>
  <c r="I448" i="10"/>
  <c r="I452" i="10"/>
  <c r="I451" i="10"/>
  <c r="K445" i="10"/>
  <c r="K444" i="10"/>
  <c r="K434" i="10"/>
  <c r="K440" i="10"/>
  <c r="K439" i="10"/>
  <c r="K441" i="10"/>
  <c r="M438" i="10"/>
  <c r="M437" i="10"/>
  <c r="M435" i="10"/>
  <c r="M436" i="10"/>
  <c r="K436" i="10"/>
  <c r="I436" i="10"/>
  <c r="K431" i="10"/>
  <c r="K430" i="10"/>
  <c r="K427" i="10"/>
  <c r="K421" i="10"/>
  <c r="M417" i="10"/>
  <c r="M416" i="10"/>
  <c r="K416" i="10"/>
  <c r="K415" i="10"/>
  <c r="K414" i="10"/>
  <c r="K418" i="10"/>
  <c r="K420" i="10"/>
  <c r="M419" i="10"/>
  <c r="K419" i="10"/>
  <c r="I419" i="10"/>
  <c r="I422" i="10"/>
  <c r="I406" i="10"/>
  <c r="K408" i="10"/>
  <c r="K404" i="10"/>
  <c r="K407" i="10"/>
  <c r="K403" i="10"/>
  <c r="K405" i="10"/>
  <c r="K400" i="10"/>
  <c r="M399" i="10"/>
  <c r="K379" i="10"/>
  <c r="M371" i="10"/>
  <c r="K389" i="10"/>
  <c r="M376" i="10"/>
  <c r="M375" i="10"/>
  <c r="M362" i="10"/>
  <c r="K355" i="10"/>
  <c r="I354" i="10"/>
  <c r="I295" i="10"/>
  <c r="K309" i="10"/>
  <c r="K310" i="10"/>
  <c r="K308" i="10"/>
  <c r="K303" i="10"/>
  <c r="K302" i="10"/>
  <c r="N297" i="10"/>
  <c r="K296" i="10"/>
  <c r="K285" i="10"/>
  <c r="I285" i="10"/>
  <c r="K290" i="10"/>
  <c r="I290" i="10"/>
  <c r="M292" i="10"/>
  <c r="M293" i="10" s="1"/>
  <c r="I292" i="10"/>
  <c r="K288" i="10"/>
  <c r="K289" i="10"/>
  <c r="I289" i="10"/>
  <c r="K287" i="10"/>
  <c r="I287" i="10"/>
  <c r="N533" i="10" l="1"/>
  <c r="N539" i="10" s="1"/>
  <c r="K293" i="10"/>
  <c r="I293" i="10"/>
  <c r="I509" i="10"/>
  <c r="I423" i="10"/>
  <c r="K486" i="10"/>
  <c r="M486" i="10"/>
  <c r="M533" i="10"/>
  <c r="M539" i="10" s="1"/>
  <c r="K423" i="10"/>
  <c r="I486" i="10"/>
  <c r="M423" i="10"/>
  <c r="K462" i="10"/>
  <c r="I533" i="10"/>
  <c r="K550" i="10"/>
  <c r="K85" i="10"/>
  <c r="I85" i="10"/>
  <c r="K78" i="10"/>
  <c r="I78" i="10"/>
  <c r="K81" i="10"/>
  <c r="I81" i="10"/>
  <c r="K80" i="10"/>
  <c r="I80" i="10"/>
  <c r="K73" i="10"/>
  <c r="K82" i="10"/>
  <c r="I82" i="10"/>
  <c r="M84" i="10"/>
  <c r="K84" i="10"/>
  <c r="I84" i="10"/>
  <c r="I74" i="10"/>
  <c r="M74" i="10"/>
  <c r="M86" i="10" s="1"/>
  <c r="K74" i="10"/>
  <c r="K58" i="10"/>
  <c r="I58" i="10"/>
  <c r="I59" i="10" s="1"/>
  <c r="M57" i="10"/>
  <c r="M56" i="10"/>
  <c r="M55" i="10"/>
  <c r="K54" i="10"/>
  <c r="M53" i="10"/>
  <c r="K39" i="10"/>
  <c r="I46" i="10"/>
  <c r="I47" i="10" s="1"/>
  <c r="K41" i="10"/>
  <c r="H41" i="10" s="1"/>
  <c r="K44" i="10"/>
  <c r="K40" i="10"/>
  <c r="M24" i="10"/>
  <c r="K24" i="10"/>
  <c r="K29" i="10"/>
  <c r="I29" i="10"/>
  <c r="K21" i="10"/>
  <c r="I21" i="10"/>
  <c r="K32" i="10"/>
  <c r="I32" i="10"/>
  <c r="M31" i="10"/>
  <c r="K31" i="10"/>
  <c r="I31" i="10"/>
  <c r="M30" i="10"/>
  <c r="K30" i="10"/>
  <c r="I30" i="10"/>
  <c r="M28" i="10"/>
  <c r="K28" i="10"/>
  <c r="I28" i="10"/>
  <c r="M27" i="10"/>
  <c r="K27" i="10"/>
  <c r="I27" i="10"/>
  <c r="M26" i="10"/>
  <c r="K26" i="10"/>
  <c r="I26" i="10"/>
  <c r="K25" i="10"/>
  <c r="I25" i="10"/>
  <c r="M22" i="10"/>
  <c r="K22" i="10"/>
  <c r="I22" i="10"/>
  <c r="M23" i="10"/>
  <c r="K23" i="10"/>
  <c r="I23" i="10"/>
  <c r="R557" i="10"/>
  <c r="S557" i="10" s="1"/>
  <c r="Q557" i="10"/>
  <c r="P557" i="10"/>
  <c r="M557" i="10" s="1"/>
  <c r="R556" i="10"/>
  <c r="S556" i="10" s="1"/>
  <c r="Q556" i="10"/>
  <c r="P556" i="10"/>
  <c r="M556" i="10" s="1"/>
  <c r="R551" i="10"/>
  <c r="Q551" i="10"/>
  <c r="P551" i="10"/>
  <c r="O551" i="10"/>
  <c r="N551" i="10"/>
  <c r="M551" i="10"/>
  <c r="L551" i="10"/>
  <c r="J551" i="10"/>
  <c r="I551" i="10"/>
  <c r="G551" i="10"/>
  <c r="F551" i="10"/>
  <c r="H549" i="10"/>
  <c r="G538" i="10"/>
  <c r="F538" i="10"/>
  <c r="F539" i="10" s="1"/>
  <c r="H536" i="10"/>
  <c r="H535" i="10"/>
  <c r="H531" i="10"/>
  <c r="H525" i="10"/>
  <c r="H530" i="10"/>
  <c r="H508" i="10"/>
  <c r="S508" i="10" s="1"/>
  <c r="H505" i="10"/>
  <c r="H501" i="10"/>
  <c r="H499" i="10"/>
  <c r="H500" i="10"/>
  <c r="H497" i="10"/>
  <c r="H495" i="10"/>
  <c r="H494" i="10"/>
  <c r="H493" i="10"/>
  <c r="R479" i="10"/>
  <c r="Q479" i="10"/>
  <c r="P479" i="10"/>
  <c r="O479" i="10"/>
  <c r="L479" i="10"/>
  <c r="J479" i="10"/>
  <c r="G479" i="10"/>
  <c r="F479" i="10"/>
  <c r="N479" i="10"/>
  <c r="M479" i="10"/>
  <c r="K479" i="10"/>
  <c r="I479" i="10"/>
  <c r="R473" i="10"/>
  <c r="Q473" i="10"/>
  <c r="P473" i="10"/>
  <c r="O473" i="10"/>
  <c r="N473" i="10"/>
  <c r="M473" i="10"/>
  <c r="L473" i="10"/>
  <c r="J473" i="10"/>
  <c r="I473" i="10"/>
  <c r="G473" i="10"/>
  <c r="F473" i="10"/>
  <c r="H472" i="10"/>
  <c r="K473" i="10"/>
  <c r="R469" i="10"/>
  <c r="Q469" i="10"/>
  <c r="P469" i="10"/>
  <c r="O469" i="10"/>
  <c r="N469" i="10"/>
  <c r="L469" i="10"/>
  <c r="K469" i="10"/>
  <c r="J469" i="10"/>
  <c r="I469" i="10"/>
  <c r="G469" i="10"/>
  <c r="F469" i="10"/>
  <c r="M469" i="10"/>
  <c r="H459" i="10"/>
  <c r="H460" i="10"/>
  <c r="R454" i="10"/>
  <c r="Q454" i="10"/>
  <c r="P454" i="10"/>
  <c r="O454" i="10"/>
  <c r="N454" i="10"/>
  <c r="M454" i="10"/>
  <c r="L454" i="10"/>
  <c r="K454" i="10"/>
  <c r="J454" i="10"/>
  <c r="G454" i="10"/>
  <c r="F454" i="10"/>
  <c r="H453" i="10"/>
  <c r="H450" i="10"/>
  <c r="H449" i="10"/>
  <c r="S449" i="10" s="1"/>
  <c r="H448" i="10"/>
  <c r="H452" i="10"/>
  <c r="R446" i="10"/>
  <c r="Q446" i="10"/>
  <c r="P446" i="10"/>
  <c r="O446" i="10"/>
  <c r="N446" i="10"/>
  <c r="M446" i="10"/>
  <c r="L446" i="10"/>
  <c r="J446" i="10"/>
  <c r="I446" i="10"/>
  <c r="G446" i="10"/>
  <c r="F446" i="10"/>
  <c r="R442" i="10"/>
  <c r="Q442" i="10"/>
  <c r="P442" i="10"/>
  <c r="O442" i="10"/>
  <c r="N442" i="10"/>
  <c r="L442" i="10"/>
  <c r="J442" i="10"/>
  <c r="G442" i="10"/>
  <c r="F442" i="10"/>
  <c r="I442" i="10"/>
  <c r="R432" i="10"/>
  <c r="Q432" i="10"/>
  <c r="P432" i="10"/>
  <c r="O432" i="10"/>
  <c r="N432" i="10"/>
  <c r="M432" i="10"/>
  <c r="L432" i="10"/>
  <c r="J432" i="10"/>
  <c r="I432" i="10"/>
  <c r="G432" i="10"/>
  <c r="F432" i="10"/>
  <c r="R428" i="10"/>
  <c r="Q428" i="10"/>
  <c r="P428" i="10"/>
  <c r="O428" i="10"/>
  <c r="N428" i="10"/>
  <c r="M428" i="10"/>
  <c r="L428" i="10"/>
  <c r="J428" i="10"/>
  <c r="I428" i="10"/>
  <c r="G428" i="10"/>
  <c r="F428" i="10"/>
  <c r="K428" i="10"/>
  <c r="H421" i="10"/>
  <c r="H417" i="10"/>
  <c r="H414" i="10"/>
  <c r="H418" i="10"/>
  <c r="R409" i="10"/>
  <c r="Q409" i="10"/>
  <c r="P409" i="10"/>
  <c r="O409" i="10"/>
  <c r="N409" i="10"/>
  <c r="M409" i="10"/>
  <c r="L409" i="10"/>
  <c r="J409" i="10"/>
  <c r="G409" i="10"/>
  <c r="F409" i="10"/>
  <c r="I409" i="10"/>
  <c r="R401" i="10"/>
  <c r="Q401" i="10"/>
  <c r="P401" i="10"/>
  <c r="O401" i="10"/>
  <c r="N401" i="10"/>
  <c r="L401" i="10"/>
  <c r="J401" i="10"/>
  <c r="I401" i="10"/>
  <c r="G401" i="10"/>
  <c r="F401" i="10"/>
  <c r="K401" i="10"/>
  <c r="R396" i="10"/>
  <c r="Q396" i="10"/>
  <c r="P396" i="10"/>
  <c r="O396" i="10"/>
  <c r="L396" i="10"/>
  <c r="G396" i="10"/>
  <c r="F396" i="10"/>
  <c r="N382" i="10"/>
  <c r="N396" i="10" s="1"/>
  <c r="H380" i="10"/>
  <c r="H379" i="10"/>
  <c r="H391" i="10"/>
  <c r="H373" i="10"/>
  <c r="M396" i="10"/>
  <c r="H368" i="10"/>
  <c r="S368" i="10" s="1"/>
  <c r="H366" i="10"/>
  <c r="S366" i="10" s="1"/>
  <c r="H383" i="10"/>
  <c r="S383" i="10" s="1"/>
  <c r="R363" i="10"/>
  <c r="Q363" i="10"/>
  <c r="P363" i="10"/>
  <c r="O363" i="10"/>
  <c r="N363" i="10"/>
  <c r="L363" i="10"/>
  <c r="K363" i="10"/>
  <c r="J363" i="10"/>
  <c r="I363" i="10"/>
  <c r="G363" i="10"/>
  <c r="F363" i="10"/>
  <c r="M363" i="10"/>
  <c r="R360" i="10"/>
  <c r="Q360" i="10"/>
  <c r="P360" i="10"/>
  <c r="O360" i="10"/>
  <c r="N360" i="10"/>
  <c r="M360" i="10"/>
  <c r="L360" i="10"/>
  <c r="J360" i="10"/>
  <c r="I360" i="10"/>
  <c r="G360" i="10"/>
  <c r="F360" i="10"/>
  <c r="K360" i="10"/>
  <c r="H358" i="10"/>
  <c r="S358" i="10" s="1"/>
  <c r="R356" i="10"/>
  <c r="Q356" i="10"/>
  <c r="P356" i="10"/>
  <c r="O356" i="10"/>
  <c r="N356" i="10"/>
  <c r="M356" i="10"/>
  <c r="L356" i="10"/>
  <c r="J356" i="10"/>
  <c r="G356" i="10"/>
  <c r="F356" i="10"/>
  <c r="I356" i="10"/>
  <c r="R352" i="10"/>
  <c r="Q352" i="10"/>
  <c r="P352" i="10"/>
  <c r="O352" i="10"/>
  <c r="N352" i="10"/>
  <c r="L352" i="10"/>
  <c r="K352" i="10"/>
  <c r="J352" i="10"/>
  <c r="F352" i="10"/>
  <c r="M352" i="10"/>
  <c r="R311" i="10"/>
  <c r="R15" i="10" s="1"/>
  <c r="Q311" i="10"/>
  <c r="Q15" i="10" s="1"/>
  <c r="P311" i="10"/>
  <c r="P15" i="10" s="1"/>
  <c r="O311" i="10"/>
  <c r="O15" i="10" s="1"/>
  <c r="L311" i="10"/>
  <c r="L15" i="10" s="1"/>
  <c r="J311" i="10"/>
  <c r="G311" i="10"/>
  <c r="F311" i="10"/>
  <c r="H304" i="10"/>
  <c r="H306" i="10"/>
  <c r="H310" i="10"/>
  <c r="H308" i="10"/>
  <c r="H299" i="10"/>
  <c r="S299" i="10" s="1"/>
  <c r="H298" i="10"/>
  <c r="S298" i="10" s="1"/>
  <c r="F290" i="10"/>
  <c r="F292" i="10"/>
  <c r="I75" i="10"/>
  <c r="H75" i="10" s="1"/>
  <c r="S75" i="10" s="1"/>
  <c r="I76" i="10"/>
  <c r="H45" i="10"/>
  <c r="S45" i="10" s="1"/>
  <c r="F293" i="10" l="1"/>
  <c r="F15" i="10" s="1"/>
  <c r="K59" i="10"/>
  <c r="P424" i="10"/>
  <c r="G424" i="10"/>
  <c r="N424" i="10"/>
  <c r="R424" i="10"/>
  <c r="I424" i="10"/>
  <c r="F424" i="10"/>
  <c r="Q424" i="10"/>
  <c r="L424" i="10"/>
  <c r="J424" i="10"/>
  <c r="O424" i="10"/>
  <c r="M59" i="10"/>
  <c r="K47" i="10"/>
  <c r="K86" i="10"/>
  <c r="I86" i="10"/>
  <c r="K33" i="10"/>
  <c r="M33" i="10"/>
  <c r="I33" i="10"/>
  <c r="G539" i="10"/>
  <c r="P487" i="10"/>
  <c r="G487" i="10"/>
  <c r="F487" i="10"/>
  <c r="J487" i="10"/>
  <c r="S459" i="10"/>
  <c r="S418" i="10"/>
  <c r="S536" i="10"/>
  <c r="S535" i="10"/>
  <c r="Q487" i="10"/>
  <c r="N487" i="10"/>
  <c r="L487" i="10"/>
  <c r="R487" i="10"/>
  <c r="O487" i="10"/>
  <c r="H382" i="10"/>
  <c r="K551" i="10"/>
  <c r="K432" i="10"/>
  <c r="N311" i="10"/>
  <c r="N15" i="10" s="1"/>
  <c r="H28" i="10"/>
  <c r="H290" i="10"/>
  <c r="H291" i="10"/>
  <c r="S291" i="10" s="1"/>
  <c r="H30" i="10"/>
  <c r="H286" i="10"/>
  <c r="I352" i="10"/>
  <c r="J396" i="10"/>
  <c r="J15" i="10" s="1"/>
  <c r="H381" i="10"/>
  <c r="S381" i="10" s="1"/>
  <c r="H24" i="10"/>
  <c r="M487" i="10"/>
  <c r="H300" i="10"/>
  <c r="H58" i="10"/>
  <c r="H392" i="10"/>
  <c r="H297" i="10"/>
  <c r="I311" i="10"/>
  <c r="H25" i="10"/>
  <c r="H73" i="10"/>
  <c r="I396" i="10"/>
  <c r="H53" i="10"/>
  <c r="H371" i="10"/>
  <c r="H437" i="10"/>
  <c r="I454" i="10"/>
  <c r="I474" i="10" s="1"/>
  <c r="K487" i="10"/>
  <c r="H483" i="10"/>
  <c r="H80" i="10"/>
  <c r="S80" i="10" s="1"/>
  <c r="H309" i="10"/>
  <c r="S309" i="10" s="1"/>
  <c r="H362" i="10"/>
  <c r="Y362" i="10" s="1"/>
  <c r="H27" i="10"/>
  <c r="H32" i="10"/>
  <c r="H44" i="10"/>
  <c r="H54" i="10"/>
  <c r="S54" i="10" s="1"/>
  <c r="H56" i="10"/>
  <c r="S56" i="10" s="1"/>
  <c r="H74" i="10"/>
  <c r="S74" i="10" s="1"/>
  <c r="H77" i="10"/>
  <c r="H81" i="10"/>
  <c r="S81" i="10" s="1"/>
  <c r="H78" i="10"/>
  <c r="S78" i="10" s="1"/>
  <c r="H367" i="10"/>
  <c r="H384" i="10"/>
  <c r="S384" i="10" s="1"/>
  <c r="H375" i="10"/>
  <c r="S375" i="10" s="1"/>
  <c r="H370" i="10"/>
  <c r="H393" i="10"/>
  <c r="H422" i="10"/>
  <c r="S422" i="10" s="1"/>
  <c r="F474" i="10"/>
  <c r="P474" i="10"/>
  <c r="H26" i="10"/>
  <c r="H31" i="10"/>
  <c r="H46" i="10"/>
  <c r="S46" i="10" s="1"/>
  <c r="H57" i="10"/>
  <c r="S57" i="10" s="1"/>
  <c r="H76" i="10"/>
  <c r="S76" i="10" s="1"/>
  <c r="H85" i="10"/>
  <c r="S85" i="10" s="1"/>
  <c r="K409" i="10"/>
  <c r="K424" i="10" s="1"/>
  <c r="H436" i="10"/>
  <c r="S436" i="10" s="1"/>
  <c r="H435" i="10"/>
  <c r="S435" i="10" s="1"/>
  <c r="H438" i="10"/>
  <c r="J474" i="10"/>
  <c r="O474" i="10"/>
  <c r="H478" i="10"/>
  <c r="H503" i="10"/>
  <c r="H515" i="10"/>
  <c r="H548" i="10"/>
  <c r="S306" i="10"/>
  <c r="AA306" i="10" s="1"/>
  <c r="H374" i="10"/>
  <c r="H369" i="10"/>
  <c r="H394" i="10"/>
  <c r="H400" i="10"/>
  <c r="H439" i="10"/>
  <c r="S439" i="10" s="1"/>
  <c r="N474" i="10"/>
  <c r="R474" i="10"/>
  <c r="H504" i="10"/>
  <c r="S504" i="10" s="1"/>
  <c r="H547" i="10"/>
  <c r="H406" i="10"/>
  <c r="H430" i="10"/>
  <c r="G474" i="10"/>
  <c r="L474" i="10"/>
  <c r="Q474" i="10"/>
  <c r="S25" i="10"/>
  <c r="S24" i="10"/>
  <c r="S41" i="10"/>
  <c r="H23" i="10"/>
  <c r="H22" i="10"/>
  <c r="H21" i="10"/>
  <c r="H39" i="10"/>
  <c r="H83" i="10"/>
  <c r="S83" i="10" s="1"/>
  <c r="H84" i="10"/>
  <c r="S84" i="10" s="1"/>
  <c r="H82" i="10"/>
  <c r="S82" i="10" s="1"/>
  <c r="H79" i="10"/>
  <c r="S79" i="10" s="1"/>
  <c r="H29" i="10"/>
  <c r="H43" i="10"/>
  <c r="H55" i="10"/>
  <c r="H40" i="10"/>
  <c r="S308" i="10"/>
  <c r="S310" i="10"/>
  <c r="S304" i="10"/>
  <c r="AA304" i="10" s="1"/>
  <c r="S286" i="10"/>
  <c r="H289" i="10"/>
  <c r="H285" i="10"/>
  <c r="H296" i="10"/>
  <c r="H301" i="10"/>
  <c r="H302" i="10"/>
  <c r="H303" i="10"/>
  <c r="H305" i="10"/>
  <c r="K311" i="10"/>
  <c r="M311" i="10"/>
  <c r="S382" i="10"/>
  <c r="H287" i="10"/>
  <c r="H288" i="10"/>
  <c r="H292" i="10"/>
  <c r="S290" i="10"/>
  <c r="H307" i="10"/>
  <c r="H295" i="10"/>
  <c r="G352" i="10"/>
  <c r="G15" i="10" s="1"/>
  <c r="H354" i="10"/>
  <c r="H355" i="10"/>
  <c r="K356" i="10"/>
  <c r="H386" i="10"/>
  <c r="H365" i="10"/>
  <c r="S367" i="10"/>
  <c r="H372" i="10"/>
  <c r="H387" i="10"/>
  <c r="H388" i="10"/>
  <c r="H377" i="10"/>
  <c r="H389" i="10"/>
  <c r="H395" i="10"/>
  <c r="H378" i="10"/>
  <c r="M401" i="10"/>
  <c r="M424" i="10" s="1"/>
  <c r="H403" i="10"/>
  <c r="H407" i="10"/>
  <c r="I487" i="10"/>
  <c r="S421" i="10"/>
  <c r="S374" i="10"/>
  <c r="S379" i="10"/>
  <c r="S380" i="10"/>
  <c r="H404" i="10"/>
  <c r="S417" i="10"/>
  <c r="S448" i="10"/>
  <c r="S453" i="10"/>
  <c r="S472" i="10"/>
  <c r="S362" i="10"/>
  <c r="S363" i="10" s="1"/>
  <c r="H363" i="10"/>
  <c r="H385" i="10"/>
  <c r="S373" i="10"/>
  <c r="H390" i="10"/>
  <c r="S391" i="10"/>
  <c r="H376" i="10"/>
  <c r="K396" i="10"/>
  <c r="H399" i="10"/>
  <c r="H408" i="10"/>
  <c r="S452" i="10"/>
  <c r="S450" i="10"/>
  <c r="H405" i="10"/>
  <c r="S497" i="10"/>
  <c r="S549" i="10"/>
  <c r="S414" i="10"/>
  <c r="H441" i="10"/>
  <c r="K442" i="10"/>
  <c r="H445" i="10"/>
  <c r="K446" i="10"/>
  <c r="S494" i="10"/>
  <c r="S501" i="10"/>
  <c r="H427" i="10"/>
  <c r="H431" i="10"/>
  <c r="S437" i="10"/>
  <c r="M442" i="10"/>
  <c r="M474" i="10" s="1"/>
  <c r="H458" i="10"/>
  <c r="H468" i="10"/>
  <c r="H477" i="10"/>
  <c r="S500" i="10"/>
  <c r="S525" i="10"/>
  <c r="H419" i="10"/>
  <c r="H415" i="10"/>
  <c r="S438" i="10"/>
  <c r="H440" i="10"/>
  <c r="H451" i="10"/>
  <c r="S460" i="10"/>
  <c r="H461" i="10"/>
  <c r="H465" i="10"/>
  <c r="H466" i="10" s="1"/>
  <c r="H471" i="10"/>
  <c r="H484" i="10"/>
  <c r="S493" i="10"/>
  <c r="S505" i="10"/>
  <c r="H420" i="10"/>
  <c r="H416" i="10"/>
  <c r="H434" i="10"/>
  <c r="H444" i="10"/>
  <c r="H457" i="10"/>
  <c r="H485" i="10"/>
  <c r="H496" i="10"/>
  <c r="H498" i="10"/>
  <c r="H502" i="10"/>
  <c r="H506" i="10"/>
  <c r="H507" i="10"/>
  <c r="H524" i="10"/>
  <c r="S530" i="10"/>
  <c r="H527" i="10"/>
  <c r="H523" i="10"/>
  <c r="H517" i="10"/>
  <c r="H519" i="10"/>
  <c r="H529" i="10"/>
  <c r="H518" i="10"/>
  <c r="H516" i="10"/>
  <c r="H520" i="10"/>
  <c r="H521" i="10"/>
  <c r="H522" i="10"/>
  <c r="H532" i="10"/>
  <c r="I538" i="10"/>
  <c r="I539" i="10" s="1"/>
  <c r="H492" i="10"/>
  <c r="S495" i="10"/>
  <c r="S499" i="10"/>
  <c r="H528" i="10"/>
  <c r="H526" i="10"/>
  <c r="S548" i="10"/>
  <c r="S531" i="10"/>
  <c r="H537" i="10"/>
  <c r="I15" i="10" l="1"/>
  <c r="M15" i="10"/>
  <c r="K15" i="10"/>
  <c r="H550" i="10"/>
  <c r="H462" i="10"/>
  <c r="H509" i="10"/>
  <c r="S483" i="10"/>
  <c r="H486" i="10"/>
  <c r="H423" i="10"/>
  <c r="S515" i="10"/>
  <c r="H533" i="10"/>
  <c r="S53" i="10"/>
  <c r="H59" i="10"/>
  <c r="H47" i="10"/>
  <c r="S73" i="10"/>
  <c r="AB86" i="10"/>
  <c r="H33" i="10"/>
  <c r="S77" i="10"/>
  <c r="H86" i="10"/>
  <c r="A35" i="10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S400" i="10"/>
  <c r="S406" i="10"/>
  <c r="S369" i="10"/>
  <c r="S26" i="10"/>
  <c r="S297" i="10"/>
  <c r="S300" i="10"/>
  <c r="H360" i="10"/>
  <c r="S430" i="10"/>
  <c r="S478" i="10"/>
  <c r="S31" i="10"/>
  <c r="S58" i="10"/>
  <c r="S28" i="10"/>
  <c r="H479" i="10"/>
  <c r="H487" i="10" s="1"/>
  <c r="S27" i="10"/>
  <c r="S30" i="10"/>
  <c r="S537" i="10"/>
  <c r="S538" i="10" s="1"/>
  <c r="S503" i="10"/>
  <c r="S393" i="10"/>
  <c r="S370" i="10"/>
  <c r="S32" i="10"/>
  <c r="S547" i="10"/>
  <c r="H551" i="10"/>
  <c r="S44" i="10"/>
  <c r="S394" i="10"/>
  <c r="H352" i="10"/>
  <c r="S371" i="10"/>
  <c r="S392" i="10"/>
  <c r="K474" i="10"/>
  <c r="H442" i="10"/>
  <c r="S532" i="10"/>
  <c r="S516" i="10"/>
  <c r="S517" i="10"/>
  <c r="S507" i="10"/>
  <c r="S498" i="10"/>
  <c r="S485" i="10"/>
  <c r="H473" i="10"/>
  <c r="S471" i="10"/>
  <c r="S473" i="10" s="1"/>
  <c r="S445" i="10"/>
  <c r="S408" i="10"/>
  <c r="S399" i="10"/>
  <c r="S401" i="10" s="1"/>
  <c r="H401" i="10"/>
  <c r="S376" i="10"/>
  <c r="S385" i="10"/>
  <c r="S404" i="10"/>
  <c r="S378" i="10"/>
  <c r="H396" i="10"/>
  <c r="S386" i="10"/>
  <c r="S292" i="10"/>
  <c r="S305" i="10"/>
  <c r="S289" i="10"/>
  <c r="S55" i="10"/>
  <c r="S29" i="10"/>
  <c r="S23" i="10"/>
  <c r="S520" i="10"/>
  <c r="S519" i="10"/>
  <c r="S527" i="10"/>
  <c r="S434" i="10"/>
  <c r="S461" i="10"/>
  <c r="S431" i="10"/>
  <c r="S441" i="10"/>
  <c r="S407" i="10"/>
  <c r="S389" i="10"/>
  <c r="S387" i="10"/>
  <c r="S365" i="10"/>
  <c r="H356" i="10"/>
  <c r="S354" i="10"/>
  <c r="S307" i="10"/>
  <c r="AA307" i="10" s="1"/>
  <c r="S301" i="10"/>
  <c r="S285" i="10"/>
  <c r="S43" i="10"/>
  <c r="S22" i="10"/>
  <c r="S528" i="10"/>
  <c r="S492" i="10"/>
  <c r="S521" i="10"/>
  <c r="S529" i="10"/>
  <c r="S524" i="10"/>
  <c r="S502" i="10"/>
  <c r="S496" i="10"/>
  <c r="S444" i="10"/>
  <c r="H446" i="10"/>
  <c r="S420" i="10"/>
  <c r="S484" i="10"/>
  <c r="S465" i="10"/>
  <c r="S466" i="10" s="1"/>
  <c r="S440" i="10"/>
  <c r="S419" i="10"/>
  <c r="S477" i="10"/>
  <c r="S479" i="10" s="1"/>
  <c r="S458" i="10"/>
  <c r="S390" i="10"/>
  <c r="S360" i="10"/>
  <c r="S395" i="10"/>
  <c r="S388" i="10"/>
  <c r="S355" i="10"/>
  <c r="S295" i="10"/>
  <c r="S287" i="10"/>
  <c r="S302" i="10"/>
  <c r="S296" i="10"/>
  <c r="H311" i="10"/>
  <c r="S39" i="10"/>
  <c r="H432" i="10"/>
  <c r="H538" i="10"/>
  <c r="S526" i="10"/>
  <c r="S522" i="10"/>
  <c r="S518" i="10"/>
  <c r="S523" i="10"/>
  <c r="S506" i="10"/>
  <c r="S457" i="10"/>
  <c r="S416" i="10"/>
  <c r="H454" i="10"/>
  <c r="S451" i="10"/>
  <c r="S454" i="10" s="1"/>
  <c r="S415" i="10"/>
  <c r="H469" i="10"/>
  <c r="S468" i="10"/>
  <c r="S469" i="10" s="1"/>
  <c r="H428" i="10"/>
  <c r="S427" i="10"/>
  <c r="S428" i="10" s="1"/>
  <c r="H409" i="10"/>
  <c r="S405" i="10"/>
  <c r="S403" i="10"/>
  <c r="S377" i="10"/>
  <c r="S372" i="10"/>
  <c r="S288" i="10"/>
  <c r="S303" i="10"/>
  <c r="S40" i="10"/>
  <c r="S21" i="10"/>
  <c r="S462" i="10" l="1"/>
  <c r="S446" i="10"/>
  <c r="A49" i="10"/>
  <c r="A50" i="10" s="1"/>
  <c r="A51" i="10" s="1"/>
  <c r="A52" i="10" s="1"/>
  <c r="A53" i="10" s="1"/>
  <c r="A54" i="10" s="1"/>
  <c r="A55" i="10" s="1"/>
  <c r="A56" i="10" s="1"/>
  <c r="A57" i="10" s="1"/>
  <c r="A58" i="10" s="1"/>
  <c r="S509" i="10"/>
  <c r="S86" i="10"/>
  <c r="W86" i="10" s="1"/>
  <c r="S486" i="10"/>
  <c r="S550" i="10"/>
  <c r="S551" i="10" s="1"/>
  <c r="H424" i="10"/>
  <c r="S423" i="10"/>
  <c r="S533" i="10"/>
  <c r="S47" i="10"/>
  <c r="Y47" i="10" s="1"/>
  <c r="S59" i="10"/>
  <c r="Y59" i="10" s="1"/>
  <c r="S33" i="10"/>
  <c r="Y33" i="10" s="1"/>
  <c r="S432" i="10"/>
  <c r="Y86" i="10"/>
  <c r="S487" i="10"/>
  <c r="S352" i="10"/>
  <c r="Y352" i="10" s="1"/>
  <c r="S442" i="10"/>
  <c r="S409" i="10"/>
  <c r="S311" i="10"/>
  <c r="Y311" i="10" s="1"/>
  <c r="H474" i="10"/>
  <c r="H539" i="10"/>
  <c r="S396" i="10"/>
  <c r="S356" i="10"/>
  <c r="S539" i="10" l="1"/>
  <c r="S424" i="10"/>
  <c r="A61" i="10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A135" i="10" s="1"/>
  <c r="A136" i="10" s="1"/>
  <c r="Y277" i="10"/>
  <c r="Y13" i="10" s="1"/>
  <c r="S474" i="10"/>
  <c r="A137" i="10" l="1"/>
  <c r="A138" i="10" s="1"/>
  <c r="A139" i="10" s="1"/>
  <c r="A140" i="10" s="1"/>
  <c r="A141" i="10" s="1"/>
  <c r="A142" i="10" s="1"/>
  <c r="A143" i="10" s="1"/>
  <c r="A144" i="10" s="1"/>
  <c r="A145" i="10" s="1"/>
  <c r="A146" i="10" s="1"/>
  <c r="A147" i="10" s="1"/>
  <c r="A148" i="10" s="1"/>
  <c r="A149" i="10" s="1"/>
  <c r="A150" i="10" s="1"/>
  <c r="A151" i="10" s="1"/>
  <c r="A152" i="10" s="1"/>
  <c r="A153" i="10" s="1"/>
  <c r="A154" i="10" s="1"/>
  <c r="A155" i="10" s="1"/>
  <c r="A156" i="10" s="1"/>
  <c r="A157" i="10" s="1"/>
  <c r="A158" i="10" s="1"/>
  <c r="A159" i="10" s="1"/>
  <c r="A160" i="10" s="1"/>
  <c r="A161" i="10" s="1"/>
  <c r="A162" i="10" s="1"/>
  <c r="A163" i="10" s="1"/>
  <c r="A164" i="10" s="1"/>
  <c r="A165" i="10" s="1"/>
  <c r="A166" i="10" s="1"/>
  <c r="A167" i="10" s="1"/>
  <c r="A168" i="10" s="1"/>
  <c r="A169" i="10" s="1"/>
  <c r="A170" i="10" s="1"/>
  <c r="A171" i="10" s="1"/>
  <c r="A172" i="10" s="1"/>
  <c r="A173" i="10" s="1"/>
  <c r="A174" i="10" s="1"/>
  <c r="A175" i="10" s="1"/>
  <c r="A176" i="10" s="1"/>
  <c r="A177" i="10" s="1"/>
  <c r="A178" i="10" s="1"/>
  <c r="A179" i="10" s="1"/>
  <c r="A180" i="10" s="1"/>
  <c r="A181" i="10" s="1"/>
  <c r="A182" i="10" s="1"/>
  <c r="A183" i="10" s="1"/>
  <c r="A184" i="10" s="1"/>
  <c r="A185" i="10" s="1"/>
  <c r="A186" i="10" s="1"/>
  <c r="A187" i="10" s="1"/>
  <c r="A188" i="10" s="1"/>
  <c r="A189" i="10" s="1"/>
  <c r="A190" i="10" s="1"/>
  <c r="A191" i="10" s="1"/>
  <c r="A192" i="10" s="1"/>
  <c r="A193" i="10" s="1"/>
  <c r="A194" i="10" s="1"/>
  <c r="A195" i="10" s="1"/>
  <c r="A196" i="10" s="1"/>
  <c r="A197" i="10" s="1"/>
  <c r="A198" i="10" s="1"/>
  <c r="A199" i="10" s="1"/>
  <c r="A200" i="10" s="1"/>
  <c r="A201" i="10" s="1"/>
  <c r="A202" i="10" s="1"/>
  <c r="A203" i="10" s="1"/>
  <c r="A204" i="10" s="1"/>
  <c r="A205" i="10" s="1"/>
  <c r="A206" i="10" s="1"/>
  <c r="A207" i="10" s="1"/>
  <c r="A208" i="10" s="1"/>
  <c r="A209" i="10" s="1"/>
  <c r="A210" i="10" s="1"/>
  <c r="A211" i="10" s="1"/>
  <c r="A212" i="10" s="1"/>
  <c r="A213" i="10" s="1"/>
  <c r="A214" i="10" s="1"/>
  <c r="A215" i="10" s="1"/>
  <c r="A216" i="10" s="1"/>
  <c r="A217" i="10" s="1"/>
  <c r="A218" i="10" s="1"/>
  <c r="A219" i="10" s="1"/>
  <c r="A220" i="10" s="1"/>
  <c r="A221" i="10" s="1"/>
  <c r="A222" i="10" s="1"/>
  <c r="A223" i="10" s="1"/>
  <c r="A224" i="10" s="1"/>
  <c r="A225" i="10" s="1"/>
  <c r="A226" i="10" s="1"/>
  <c r="A227" i="10" s="1"/>
  <c r="A228" i="10" s="1"/>
  <c r="A229" i="10" s="1"/>
  <c r="A230" i="10" s="1"/>
  <c r="A231" i="10" s="1"/>
  <c r="A232" i="10" s="1"/>
  <c r="A233" i="10" s="1"/>
  <c r="A234" i="10" s="1"/>
  <c r="A235" i="10" s="1"/>
  <c r="A236" i="10" s="1"/>
  <c r="A237" i="10" s="1"/>
  <c r="A238" i="10" s="1"/>
  <c r="A239" i="10" s="1"/>
  <c r="A240" i="10" s="1"/>
  <c r="A241" i="10" s="1"/>
  <c r="A242" i="10" s="1"/>
  <c r="A243" i="10" s="1"/>
  <c r="A244" i="10" s="1"/>
  <c r="A245" i="10" s="1"/>
  <c r="A246" i="10" s="1"/>
  <c r="A247" i="10" s="1"/>
  <c r="A248" i="10" s="1"/>
  <c r="A249" i="10" s="1"/>
  <c r="A250" i="10" s="1"/>
  <c r="A251" i="10" s="1"/>
  <c r="A252" i="10" s="1"/>
  <c r="A253" i="10" s="1"/>
  <c r="A254" i="10" s="1"/>
  <c r="A255" i="10" s="1"/>
  <c r="A256" i="10" s="1"/>
  <c r="A257" i="10" s="1"/>
  <c r="A258" i="10" s="1"/>
  <c r="A259" i="10" s="1"/>
  <c r="A260" i="10" s="1"/>
  <c r="A261" i="10" s="1"/>
  <c r="A262" i="10" s="1"/>
  <c r="A263" i="10" s="1"/>
  <c r="A264" i="10" s="1"/>
  <c r="A265" i="10" s="1"/>
  <c r="A266" i="10" s="1"/>
  <c r="A267" i="10" s="1"/>
  <c r="A268" i="10" s="1"/>
  <c r="A269" i="10" s="1"/>
  <c r="A270" i="10" s="1"/>
  <c r="A271" i="10" s="1"/>
  <c r="A272" i="10" s="1"/>
  <c r="A273" i="10" s="1"/>
  <c r="A274" i="10" s="1"/>
  <c r="A275" i="10" s="1"/>
  <c r="A276" i="10" s="1"/>
  <c r="A279" i="10" l="1"/>
  <c r="A280" i="10" s="1"/>
  <c r="A281" i="10" s="1"/>
  <c r="A282" i="10" s="1"/>
  <c r="A283" i="10" s="1"/>
  <c r="A284" i="10" s="1"/>
  <c r="A285" i="10" s="1"/>
  <c r="A286" i="10" s="1"/>
  <c r="A287" i="10" s="1"/>
  <c r="A288" i="10" s="1"/>
  <c r="A289" i="10" s="1"/>
  <c r="A290" i="10" s="1"/>
  <c r="A291" i="10" s="1"/>
  <c r="A292" i="10" s="1"/>
  <c r="A295" i="10" l="1"/>
  <c r="A296" i="10" s="1"/>
  <c r="A297" i="10" s="1"/>
  <c r="A298" i="10" s="1"/>
  <c r="A299" i="10" s="1"/>
  <c r="A300" i="10" s="1"/>
  <c r="A301" i="10" s="1"/>
  <c r="A302" i="10" s="1"/>
  <c r="A303" i="10" s="1"/>
  <c r="A304" i="10" s="1"/>
  <c r="A305" i="10" s="1"/>
  <c r="A306" i="10" s="1"/>
  <c r="A307" i="10" s="1"/>
  <c r="A308" i="10" s="1"/>
  <c r="A309" i="10" s="1"/>
  <c r="A310" i="10" s="1"/>
  <c r="A313" i="10" l="1"/>
  <c r="A314" i="10" s="1"/>
  <c r="A315" i="10" s="1"/>
  <c r="A316" i="10" s="1"/>
  <c r="A317" i="10" s="1"/>
  <c r="A318" i="10" s="1"/>
  <c r="A319" i="10" s="1"/>
  <c r="A320" i="10" s="1"/>
  <c r="A321" i="10" s="1"/>
  <c r="A322" i="10" s="1"/>
  <c r="A323" i="10" s="1"/>
  <c r="A324" i="10" s="1"/>
  <c r="A325" i="10" s="1"/>
  <c r="A326" i="10" s="1"/>
  <c r="A327" i="10" s="1"/>
  <c r="A328" i="10" s="1"/>
  <c r="A329" i="10" s="1"/>
  <c r="A330" i="10" s="1"/>
  <c r="A331" i="10" s="1"/>
  <c r="A332" i="10" s="1"/>
  <c r="A333" i="10" s="1"/>
  <c r="A334" i="10" s="1"/>
  <c r="A335" i="10" s="1"/>
  <c r="A336" i="10" s="1"/>
  <c r="A337" i="10" s="1"/>
  <c r="A338" i="10" s="1"/>
  <c r="A339" i="10" s="1"/>
  <c r="A340" i="10" s="1"/>
  <c r="A341" i="10" s="1"/>
  <c r="A342" i="10" s="1"/>
  <c r="A343" i="10" s="1"/>
  <c r="A344" i="10" s="1"/>
  <c r="A345" i="10" s="1"/>
  <c r="A346" i="10" s="1"/>
  <c r="A347" i="10" s="1"/>
  <c r="A348" i="10" s="1"/>
  <c r="A349" i="10" s="1"/>
  <c r="A350" i="10" s="1"/>
  <c r="A351" i="10" s="1"/>
  <c r="A354" i="10" l="1"/>
  <c r="A355" i="10" s="1"/>
  <c r="A358" i="10" s="1"/>
  <c r="A359" i="10" s="1"/>
  <c r="A362" i="10" s="1"/>
  <c r="A365" i="10" s="1"/>
  <c r="A366" i="10" s="1"/>
  <c r="A367" i="10" s="1"/>
  <c r="A368" i="10" s="1"/>
  <c r="A369" i="10" s="1"/>
  <c r="A370" i="10" s="1"/>
  <c r="A371" i="10" s="1"/>
  <c r="A372" i="10" s="1"/>
  <c r="A373" i="10" s="1"/>
  <c r="A374" i="10" s="1"/>
  <c r="A375" i="10" s="1"/>
  <c r="A376" i="10" s="1"/>
  <c r="A377" i="10" s="1"/>
  <c r="A378" i="10" s="1"/>
  <c r="A379" i="10" s="1"/>
  <c r="A380" i="10" s="1"/>
  <c r="A381" i="10" s="1"/>
  <c r="A382" i="10" s="1"/>
  <c r="A383" i="10" s="1"/>
  <c r="A384" i="10" s="1"/>
  <c r="A385" i="10" s="1"/>
  <c r="A386" i="10" s="1"/>
  <c r="A387" i="10" s="1"/>
  <c r="A388" i="10" s="1"/>
  <c r="A389" i="10" s="1"/>
  <c r="A390" i="10" s="1"/>
  <c r="A391" i="10" s="1"/>
  <c r="A392" i="10" s="1"/>
  <c r="A393" i="10" s="1"/>
  <c r="A394" i="10" s="1"/>
  <c r="A395" i="10" s="1"/>
  <c r="A399" i="10" l="1"/>
  <c r="A400" i="10" s="1"/>
  <c r="A403" i="10" s="1"/>
  <c r="A404" i="10" s="1"/>
  <c r="A405" i="10" l="1"/>
  <c r="A406" i="10" s="1"/>
  <c r="A407" i="10" s="1"/>
  <c r="A408" i="10" s="1"/>
  <c r="A411" i="10" s="1"/>
  <c r="A412" i="10" s="1"/>
  <c r="A413" i="10" s="1"/>
  <c r="A414" i="10" l="1"/>
  <c r="A415" i="10" s="1"/>
  <c r="A416" i="10" s="1"/>
  <c r="A417" i="10" s="1"/>
  <c r="A418" i="10" s="1"/>
  <c r="A419" i="10" s="1"/>
  <c r="A420" i="10" s="1"/>
  <c r="A421" i="10" s="1"/>
  <c r="A422" i="10" s="1"/>
  <c r="A427" i="10" s="1"/>
  <c r="A430" i="10" s="1"/>
  <c r="A431" i="10" s="1"/>
  <c r="A434" i="10" s="1"/>
  <c r="A435" i="10" s="1"/>
  <c r="A436" i="10" s="1"/>
  <c r="A437" i="10" s="1"/>
  <c r="A438" i="10" s="1"/>
  <c r="A439" i="10" s="1"/>
  <c r="A440" i="10" s="1"/>
  <c r="A441" i="10" s="1"/>
  <c r="A444" i="10" s="1"/>
  <c r="A445" i="10" s="1"/>
  <c r="A448" i="10" s="1"/>
  <c r="A449" i="10" s="1"/>
  <c r="A450" i="10" l="1"/>
  <c r="A451" i="10" s="1"/>
  <c r="A452" i="10" s="1"/>
  <c r="A453" i="10" s="1"/>
  <c r="A456" i="10" s="1"/>
  <c r="A457" i="10" s="1"/>
  <c r="A458" i="10" l="1"/>
  <c r="A459" i="10" s="1"/>
  <c r="A460" i="10" s="1"/>
  <c r="A461" i="10" s="1"/>
  <c r="A464" i="10" s="1"/>
  <c r="A465" i="10" s="1"/>
  <c r="A468" i="10" s="1"/>
  <c r="A471" i="10" s="1"/>
  <c r="A472" i="10" s="1"/>
  <c r="A477" i="10" s="1"/>
  <c r="A478" i="10" s="1"/>
  <c r="A481" i="10" s="1"/>
  <c r="A482" i="10" s="1"/>
  <c r="A483" i="10" l="1"/>
  <c r="A484" i="10" s="1"/>
  <c r="A485" i="10" s="1"/>
  <c r="A490" i="10" s="1"/>
  <c r="A491" i="10" l="1"/>
  <c r="A492" i="10" s="1"/>
  <c r="A493" i="10" s="1"/>
  <c r="A494" i="10" s="1"/>
  <c r="A495" i="10" s="1"/>
  <c r="A496" i="10" s="1"/>
  <c r="A497" i="10" s="1"/>
  <c r="A498" i="10" s="1"/>
  <c r="A499" i="10" s="1"/>
  <c r="A500" i="10" s="1"/>
  <c r="A501" i="10" s="1"/>
  <c r="A502" i="10" s="1"/>
  <c r="A503" i="10" s="1"/>
  <c r="A504" i="10" s="1"/>
  <c r="A505" i="10" s="1"/>
  <c r="A506" i="10" s="1"/>
  <c r="A507" i="10" s="1"/>
  <c r="A508" i="10" s="1"/>
  <c r="A511" i="10" s="1"/>
  <c r="A512" i="10" s="1"/>
  <c r="A513" i="10" s="1"/>
  <c r="A514" i="10" s="1"/>
  <c r="A515" i="10" s="1"/>
  <c r="A516" i="10" s="1"/>
  <c r="A517" i="10" s="1"/>
  <c r="A518" i="10" s="1"/>
  <c r="A519" i="10" s="1"/>
  <c r="A520" i="10" s="1"/>
  <c r="A521" i="10" s="1"/>
  <c r="A522" i="10" s="1"/>
  <c r="A523" i="10" s="1"/>
  <c r="A524" i="10" s="1"/>
  <c r="A525" i="10" s="1"/>
  <c r="A526" i="10" s="1"/>
  <c r="A527" i="10" s="1"/>
  <c r="A528" i="10" s="1"/>
  <c r="A529" i="10" s="1"/>
  <c r="A530" i="10" s="1"/>
  <c r="A531" i="10" s="1"/>
  <c r="A532" i="10" s="1"/>
  <c r="A535" i="10" s="1"/>
  <c r="A536" i="10" s="1"/>
  <c r="A537" i="10" s="1"/>
  <c r="A541" i="10" s="1"/>
  <c r="A542" i="10" s="1"/>
  <c r="A543" i="10" s="1"/>
  <c r="A544" i="10" s="1"/>
  <c r="A545" i="10" s="1"/>
  <c r="A546" i="10" s="1"/>
  <c r="A547" i="10" s="1"/>
  <c r="A548" i="10" s="1"/>
  <c r="A549" i="10" s="1"/>
  <c r="S282" i="10" l="1"/>
  <c r="S293" i="10" s="1"/>
  <c r="S15" i="10" s="1"/>
  <c r="H293" i="10"/>
  <c r="H15" i="10" s="1"/>
  <c r="Y293" i="10" l="1"/>
  <c r="W15" i="10"/>
  <c r="Y15" i="10" s="1"/>
</calcChain>
</file>

<file path=xl/comments1.xml><?xml version="1.0" encoding="utf-8"?>
<comments xmlns="http://schemas.openxmlformats.org/spreadsheetml/2006/main">
  <authors>
    <author>nijelskaya</author>
    <author>User</author>
  </authors>
  <commentList>
    <comment ref="B130" authorId="0">
      <text>
        <r>
          <rPr>
            <b/>
            <sz val="8"/>
            <color indexed="81"/>
            <rFont val="Tahoma"/>
            <family val="2"/>
            <charset val="204"/>
          </rPr>
          <t>nijelskaya:</t>
        </r>
        <r>
          <rPr>
            <sz val="8"/>
            <color indexed="81"/>
            <rFont val="Tahoma"/>
            <family val="2"/>
            <charset val="204"/>
          </rPr>
          <t xml:space="preserve">
добавлен фасад по Пост-ю адм. г. Мурманска от 25.04.2016 № 1085</t>
        </r>
      </text>
    </comment>
    <comment ref="M13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nijelskaya: </t>
        </r>
        <r>
          <rPr>
            <b/>
            <sz val="9"/>
            <color indexed="81"/>
            <rFont val="Tahoma"/>
            <family val="2"/>
            <charset val="204"/>
          </rPr>
          <t>Пост-е адм. г. Мурманска от 25.04.2016 № 1085</t>
        </r>
      </text>
    </comment>
    <comment ref="B156" authorId="0">
      <text>
        <r>
          <rPr>
            <b/>
            <sz val="8"/>
            <color indexed="81"/>
            <rFont val="Tahoma"/>
            <family val="2"/>
            <charset val="204"/>
          </rPr>
          <t>nijelskaya:</t>
        </r>
        <r>
          <rPr>
            <sz val="8"/>
            <color indexed="81"/>
            <rFont val="Tahoma"/>
            <family val="2"/>
            <charset val="204"/>
          </rPr>
          <t xml:space="preserve">
МКД культурного наследия</t>
        </r>
      </text>
    </comment>
    <comment ref="B157" authorId="0">
      <text>
        <r>
          <rPr>
            <b/>
            <sz val="8"/>
            <color indexed="81"/>
            <rFont val="Tahoma"/>
            <family val="2"/>
            <charset val="204"/>
          </rPr>
          <t>nijelskaya:</t>
        </r>
        <r>
          <rPr>
            <sz val="8"/>
            <color indexed="81"/>
            <rFont val="Tahoma"/>
            <family val="2"/>
            <charset val="204"/>
          </rPr>
          <t xml:space="preserve">
МКД культурного наследия</t>
        </r>
      </text>
    </comment>
    <comment ref="B158" authorId="0">
      <text>
        <r>
          <rPr>
            <b/>
            <sz val="8"/>
            <color indexed="81"/>
            <rFont val="Tahoma"/>
            <family val="2"/>
            <charset val="204"/>
          </rPr>
          <t>nijelskaya:</t>
        </r>
        <r>
          <rPr>
            <sz val="8"/>
            <color indexed="81"/>
            <rFont val="Tahoma"/>
            <family val="2"/>
            <charset val="204"/>
          </rPr>
          <t xml:space="preserve">
МКД культурного наследия</t>
        </r>
      </text>
    </comment>
    <comment ref="B160" authorId="0">
      <text>
        <r>
          <rPr>
            <b/>
            <sz val="8"/>
            <color indexed="81"/>
            <rFont val="Tahoma"/>
            <family val="2"/>
            <charset val="204"/>
          </rPr>
          <t>nijelskaya:</t>
        </r>
        <r>
          <rPr>
            <sz val="8"/>
            <color indexed="81"/>
            <rFont val="Tahoma"/>
            <family val="2"/>
            <charset val="204"/>
          </rPr>
          <t xml:space="preserve">
МКД культурного наследия</t>
        </r>
      </text>
    </comment>
    <comment ref="M160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Сумма проекта вычтена из суммы по предельнику
</t>
        </r>
      </text>
    </comment>
    <comment ref="B209" authorId="0">
      <text>
        <r>
          <rPr>
            <b/>
            <sz val="8"/>
            <color indexed="81"/>
            <rFont val="Tahoma"/>
            <family val="2"/>
            <charset val="204"/>
          </rPr>
          <t>nijelskaya:</t>
        </r>
        <r>
          <rPr>
            <sz val="8"/>
            <color indexed="81"/>
            <rFont val="Tahoma"/>
            <family val="2"/>
            <charset val="204"/>
          </rPr>
          <t xml:space="preserve">
собственники сами будут менять теплообменник в 2016 году</t>
        </r>
      </text>
    </comment>
    <comment ref="B336" authorId="0">
      <text>
        <r>
          <rPr>
            <b/>
            <sz val="8"/>
            <color indexed="81"/>
            <rFont val="Tahoma"/>
            <family val="2"/>
            <charset val="204"/>
          </rPr>
          <t>nijelskaya:</t>
        </r>
        <r>
          <rPr>
            <sz val="8"/>
            <color indexed="81"/>
            <rFont val="Tahoma"/>
            <family val="2"/>
            <charset val="204"/>
          </rPr>
          <t xml:space="preserve">
МКД культурного наследия, подтверждение предоставлено</t>
        </r>
      </text>
    </comment>
    <comment ref="M336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>Сумма проекта вычтена из суммы по предельнику</t>
        </r>
      </text>
    </comment>
    <comment ref="K464" authorId="0">
      <text>
        <r>
          <rPr>
            <b/>
            <sz val="8"/>
            <color indexed="81"/>
            <rFont val="Tahoma"/>
            <family val="2"/>
            <charset val="204"/>
          </rPr>
          <t>nijelskaya:</t>
        </r>
        <r>
          <rPr>
            <sz val="8"/>
            <color indexed="81"/>
            <rFont val="Tahoma"/>
            <family val="2"/>
            <charset val="204"/>
          </rPr>
          <t xml:space="preserve">
ОМСУ настаивает на плоской кр., по нашей хар-ке кр. скатная, в расчет беру их данные.</t>
        </r>
      </text>
    </comment>
  </commentList>
</comments>
</file>

<file path=xl/sharedStrings.xml><?xml version="1.0" encoding="utf-8"?>
<sst xmlns="http://schemas.openxmlformats.org/spreadsheetml/2006/main" count="1415" uniqueCount="627">
  <si>
    <t>№ п/п</t>
  </si>
  <si>
    <t>Адрес МКД</t>
  </si>
  <si>
    <t>Год ввода в эксплуатацию</t>
  </si>
  <si>
    <t>Общая площадь МКД, всего</t>
  </si>
  <si>
    <t>Всего: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</si>
  <si>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</si>
  <si>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</si>
  <si>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</si>
  <si>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</si>
  <si>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</si>
  <si>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</si>
  <si>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В том числе:</t>
  </si>
  <si>
    <t>За счет средств местного бюджета</t>
  </si>
  <si>
    <t>кв.м</t>
  </si>
  <si>
    <t>руб.</t>
  </si>
  <si>
    <t>1</t>
  </si>
  <si>
    <t>2</t>
  </si>
  <si>
    <t>3</t>
  </si>
  <si>
    <t>1959</t>
  </si>
  <si>
    <t>1958</t>
  </si>
  <si>
    <t>1977</t>
  </si>
  <si>
    <t>1984</t>
  </si>
  <si>
    <t>1980</t>
  </si>
  <si>
    <t>За счет средств федерального бюджета</t>
  </si>
  <si>
    <t>1990</t>
  </si>
  <si>
    <t>г. Североморск, ул. Северная Застава, д. 26</t>
  </si>
  <si>
    <t>г. Североморск, ул. Флотских Строителей, д. 6</t>
  </si>
  <si>
    <t>Муниципальное образование сельское поселение Пушной Кольского района</t>
  </si>
  <si>
    <t>Муниципальное образование город Мончегорск с подведомственной территорией</t>
  </si>
  <si>
    <t>Муниципальное образование город Кировск с подведомственной территорией</t>
  </si>
  <si>
    <t>Муниципальное образование ЗАТО Александровск</t>
  </si>
  <si>
    <t>Муниципальное образование город Мурманск</t>
  </si>
  <si>
    <t>Муниципальное образование ЗАТО город Североморск</t>
  </si>
  <si>
    <t>За счет средств собственников помещений в МКД</t>
  </si>
  <si>
    <t>За счет средств областного бюджета</t>
  </si>
  <si>
    <t>г. Мурманск, ул. Полярный Круг, д. 9</t>
  </si>
  <si>
    <t>Стоимость капитального ремонта**</t>
  </si>
  <si>
    <t>Разработка проектной документации</t>
  </si>
  <si>
    <t>Год начала работ</t>
  </si>
  <si>
    <t>Год завершения работ</t>
  </si>
  <si>
    <t>Муниципальное образование город Апатиты с подведомственной территорией</t>
  </si>
  <si>
    <t>г. Кировск, ул. Юбилейная, д. 7</t>
  </si>
  <si>
    <t>г. Мурманск, пер. Охотничий, д. 13</t>
  </si>
  <si>
    <t>г. Мурманск, пер. Охотничий, д. 19</t>
  </si>
  <si>
    <t>г. Мурманск, ул. Инженерная, д. 7</t>
  </si>
  <si>
    <t>г. Мурманск, ул. Набережная, д. 15</t>
  </si>
  <si>
    <t>г. Мурманск, ул. Октябрьская, д. 12</t>
  </si>
  <si>
    <t>г. Мурманск, ул. Сафонова, д. 32/19</t>
  </si>
  <si>
    <t>г. Мурманск, ул. Свердлова, д. 2, корп. 3</t>
  </si>
  <si>
    <t>г. Мурманск, ул. Челюскинцев, д. 31</t>
  </si>
  <si>
    <t>Муниципальное образование город Оленегорск с подведомственной территорией</t>
  </si>
  <si>
    <t>Муниципальное образование город Полярные Зори с подведомственной территорией</t>
  </si>
  <si>
    <t>г. Полярный, ул. Лунина, д. 5</t>
  </si>
  <si>
    <t>1957</t>
  </si>
  <si>
    <t>1976</t>
  </si>
  <si>
    <t>1964</t>
  </si>
  <si>
    <t>1939</t>
  </si>
  <si>
    <t>1940</t>
  </si>
  <si>
    <t>1938</t>
  </si>
  <si>
    <t>Муниципальное образование ЗАТО поселок Видяево</t>
  </si>
  <si>
    <t>Муниципальное образование ЗАТО город Заозерск</t>
  </si>
  <si>
    <t>г. Кировск, пр. Ленина, д. 9а</t>
  </si>
  <si>
    <t>1963</t>
  </si>
  <si>
    <t>1962</t>
  </si>
  <si>
    <t>Муниципальное образование ЗАТО город Островной</t>
  </si>
  <si>
    <t>Кандалакшский муниципальный район</t>
  </si>
  <si>
    <t>Муниципальное образование сельское поселение Алакуртти Кандалакшского района</t>
  </si>
  <si>
    <t>1982</t>
  </si>
  <si>
    <t>Муниципальное образование городское поселение Зеленоборский Кандалакшского района</t>
  </si>
  <si>
    <t>пгт Зеленоборский, ул. Магистральная, д. 21</t>
  </si>
  <si>
    <t>1950</t>
  </si>
  <si>
    <t>1960</t>
  </si>
  <si>
    <t>Муниципальное образование городское поселение Кандалакша Кандалакшского района</t>
  </si>
  <si>
    <t>1956</t>
  </si>
  <si>
    <t>1937</t>
  </si>
  <si>
    <t>1935</t>
  </si>
  <si>
    <t>Кольский муниципальный район</t>
  </si>
  <si>
    <t>Муниципальное образование городское поселение Кильдинстрой Кольского района</t>
  </si>
  <si>
    <t>Муниципальное образование городское поселение Кола Кольского района</t>
  </si>
  <si>
    <t>Муниципальное образование городское поселение Мурмаши Кольского района</t>
  </si>
  <si>
    <t>1988</t>
  </si>
  <si>
    <t>1968</t>
  </si>
  <si>
    <t>Ловозерский муниципальный район</t>
  </si>
  <si>
    <t>Муниципальное образование сельское поселение Ловозеро Ловозерского района</t>
  </si>
  <si>
    <t>с. Ловозеро, ул. Пионерская, д. 21</t>
  </si>
  <si>
    <t>Муниципальное образование городское поселение Ревда Ловозерского района</t>
  </si>
  <si>
    <t>Печенгский муниципальный район</t>
  </si>
  <si>
    <t>Муниципальное образование городское поселение Заполярный Печенгского района</t>
  </si>
  <si>
    <t>г. Заполярный, пер. Советский, д. 5</t>
  </si>
  <si>
    <t>1967</t>
  </si>
  <si>
    <t>Муниципальное образование городское поселение Никель Печенгского района</t>
  </si>
  <si>
    <t>1989</t>
  </si>
  <si>
    <t>1985</t>
  </si>
  <si>
    <t>1965</t>
  </si>
  <si>
    <t>1973</t>
  </si>
  <si>
    <t>1974</t>
  </si>
  <si>
    <t>пгт Никель, ул. Печенгская, д. 18/9</t>
  </si>
  <si>
    <t>1966</t>
  </si>
  <si>
    <t>1979</t>
  </si>
  <si>
    <t>1969</t>
  </si>
  <si>
    <t>Терский муниципальный район</t>
  </si>
  <si>
    <t>г. Мончегорск, ул. Кольская, д. 4</t>
  </si>
  <si>
    <t>г. Мончегорск, наб. Комсомольская, д. 60</t>
  </si>
  <si>
    <t>г. Мончегорск, ул. Советская, д. 12</t>
  </si>
  <si>
    <t>г. Мурманск, пер. Охотничий, д. 17</t>
  </si>
  <si>
    <t>г. Мурманск, пр. Ленина, д. 70</t>
  </si>
  <si>
    <t>г. Мурманск, ул. Нахимова, д. 17</t>
  </si>
  <si>
    <t>г. Мурманск, ул. Семена Дежнева, д. 14</t>
  </si>
  <si>
    <t>Муниципальное образование городское поселение Верхнетуломский Кольского района</t>
  </si>
  <si>
    <t>Муниципальное образование сельское поселение Междуречье Кольского района</t>
  </si>
  <si>
    <t>Муниципальное образование городское поселение Молочный Кольского района</t>
  </si>
  <si>
    <t>пгт Молочный, ул. Гальченко, д. 5</t>
  </si>
  <si>
    <t>Х</t>
  </si>
  <si>
    <t>1981</t>
  </si>
  <si>
    <t>1961</t>
  </si>
  <si>
    <t>Общая площадь помещений МКД, всего</t>
  </si>
  <si>
    <t>пгт Ревда, ул. Нефедова, д. 2</t>
  </si>
  <si>
    <t>г. Мурманск, пр. Ленина, д. 88</t>
  </si>
  <si>
    <t>г. Мурманск, пр. Ленина, д. 65</t>
  </si>
  <si>
    <t>г. Снежногорск, ул. Октябрьская, д. 13</t>
  </si>
  <si>
    <t>г. Полярный, ул. Гаджиева, д. 4</t>
  </si>
  <si>
    <t>г. Полярный, ул. Героев Североморцев, д. 3</t>
  </si>
  <si>
    <t>г. Мурманск, ул. Академика Павлова, д. 5</t>
  </si>
  <si>
    <t>г. Мурманск, ул. им. Виктора Миронова, д. 10</t>
  </si>
  <si>
    <t>г. Мурманск, ул. Юрия Смирнова, д. 20</t>
  </si>
  <si>
    <t>г. Мурманск, ул. Юрия Смирнова, д. 22</t>
  </si>
  <si>
    <t>г. Мурманск, ул. Самойловой, д. 3</t>
  </si>
  <si>
    <t>Мурманской области</t>
  </si>
  <si>
    <t>Ковдорский район</t>
  </si>
  <si>
    <t>г. Ковдор, ул. Коновалова, д. 4</t>
  </si>
  <si>
    <t>г. Ковдор, ул. Ленина, д. 1</t>
  </si>
  <si>
    <t>г. Ковдор, пл. Ленина, д. 5</t>
  </si>
  <si>
    <t>г. Ковдор, пл. Ленина, д. 2</t>
  </si>
  <si>
    <t>г. Ковдор, ул. Ленина, д. 8</t>
  </si>
  <si>
    <r>
      <t>- стоимость ремонта 1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общей площади  помещений многоквартирного дома  с учетом замены лифтового оборудования - 12 777,69 руб.»</t>
    </r>
  </si>
  <si>
    <t>г. Апатиты, ул. Космонавтов, д. 8</t>
  </si>
  <si>
    <t>г. Апатиты, ул. Космонавтов, д. 11</t>
  </si>
  <si>
    <t>г. Апатиты, ул. Ленина, д. 5</t>
  </si>
  <si>
    <t>г. Апатиты, ул. Московская, д. 1</t>
  </si>
  <si>
    <t>г. Апатиты, ул. Московская, д. 6</t>
  </si>
  <si>
    <t>г. Апатиты, ул. Ферсмана, д. 20</t>
  </si>
  <si>
    <t>панельные</t>
  </si>
  <si>
    <t>кирпичные</t>
  </si>
  <si>
    <t>г. Ковдор, ул. Победы, д. 8</t>
  </si>
  <si>
    <t>крупноблочные силикатные</t>
  </si>
  <si>
    <t>г. Кировск, ул. Мира, д. 2</t>
  </si>
  <si>
    <t>г. Кировск, пр. Ленина, д. 3а</t>
  </si>
  <si>
    <t>г. Кировск, ул. Мира, д. 8а</t>
  </si>
  <si>
    <t>г. Кировск, пр. Ленина, д. 19а</t>
  </si>
  <si>
    <t>г. Кировск, ул. Олимпийская, д. 8</t>
  </si>
  <si>
    <t>бревно (брус)</t>
  </si>
  <si>
    <t>дерево</t>
  </si>
  <si>
    <t>плоская</t>
  </si>
  <si>
    <t>скатная</t>
  </si>
  <si>
    <t>г. Мурманск, ул. Беринга, д. 20</t>
  </si>
  <si>
    <t>г. Мурманск, ул. Адмирала флота Лобова, д. 39/13</t>
  </si>
  <si>
    <t>г. Мурманск, ул. Юрия Гагарина, д. 1а</t>
  </si>
  <si>
    <t>г. Мурманск, пр. Кольский, д. 128</t>
  </si>
  <si>
    <t>г. Мурманск, ул. Карла Либкнехта, д. 8</t>
  </si>
  <si>
    <t>г. Мурманск, пер. Охотничий, д. 4</t>
  </si>
  <si>
    <t>г. Мурманск, пер. Охотничий, д. 21</t>
  </si>
  <si>
    <t>г. Мурманск, пер. Охотничий, д. 15</t>
  </si>
  <si>
    <t>г. Мурманск, пер. Охотничий, д. 25</t>
  </si>
  <si>
    <t>г. Мурманск, пр. Ленина, д. 26</t>
  </si>
  <si>
    <t>г. Мурманск, ул. Академика Павлова, д. 9</t>
  </si>
  <si>
    <t>г. Мурманск, ул. Академика Павлова, д. 2</t>
  </si>
  <si>
    <t>г. Мурманск, ул. Папанина, д. 28</t>
  </si>
  <si>
    <t>г. Мурманск, ул. Фрунзе, д. 17</t>
  </si>
  <si>
    <t>г. Мурманск, пр-зд Молодежный, д. 11</t>
  </si>
  <si>
    <t>г. Мурманск, ул. имени Полухина, д. 22</t>
  </si>
  <si>
    <t>г. Мурманск, ул. имени Полухина, д. 16</t>
  </si>
  <si>
    <t>г. Мурманск, ул. имени Полухина, д. 9</t>
  </si>
  <si>
    <t>г. Мурманск, ул. имени Полухина, д. 12</t>
  </si>
  <si>
    <t>г. Мурманск, ул. имени Полухина, д. 14в</t>
  </si>
  <si>
    <t>г. Мурманск, ул. Сафонова, д. 24/26</t>
  </si>
  <si>
    <t>г. Мурманск, ул. Сафонова, д. 21</t>
  </si>
  <si>
    <t>г. Мурманск, ул. Сафонова, д. 43</t>
  </si>
  <si>
    <t>г. Мурманск, ул. Юрия Гагарина, д. 3</t>
  </si>
  <si>
    <t>г. Мурманск, ул. Юрия Гагарина, д. 5</t>
  </si>
  <si>
    <t xml:space="preserve">г. Мурманск, ул. Подстаницкого, д. 4 </t>
  </si>
  <si>
    <t xml:space="preserve">г. Мурманск, ул. Подстаницкого, д. 12 </t>
  </si>
  <si>
    <t xml:space="preserve">г. Мурманск, ул. Подстаницкого, д. 18 </t>
  </si>
  <si>
    <t>г. Мурманск, ул. Подстаницкого, д. 10</t>
  </si>
  <si>
    <t>г. Мурманск, ул. Подстаницкого, д. 6</t>
  </si>
  <si>
    <t>г. Мурманск, ул. Челюскинцев, д. 30а</t>
  </si>
  <si>
    <t>г. Мурманск, ул. Володарского, д. 2б</t>
  </si>
  <si>
    <t>г. Мурманск, ул. им. вице-адмирала Николаева, д. 5</t>
  </si>
  <si>
    <t>г. Мурманск, ул. им. вице-адмирала Николаева, д. 1/9</t>
  </si>
  <si>
    <t>г. Мурманск, ул. им. вице-адмирала Николаева, д. 6</t>
  </si>
  <si>
    <t>г. Мурманск, ул. им. вице-адмирала Николаева, д. 8</t>
  </si>
  <si>
    <t>г. Мурманск, ул. им. вице-адмирала Николаева, д. 7</t>
  </si>
  <si>
    <t>г. Мурманск, ул. имени Гаджиева, д. 2/47</t>
  </si>
  <si>
    <t>г. Мурманск, ул. им. А. С. Хлобыстова, д. 18</t>
  </si>
  <si>
    <t>г. Апатиты, ул. Победы, д. 19</t>
  </si>
  <si>
    <t>г. Апатиты, ул. Северная, д. 29</t>
  </si>
  <si>
    <t>г. Апатиты, ул. Ферсмана, д. 36</t>
  </si>
  <si>
    <t>г. Апатиты, ул. Бредова, д. 30</t>
  </si>
  <si>
    <t>г. Апатиты, ул. Победы, д. 6</t>
  </si>
  <si>
    <t>газ</t>
  </si>
  <si>
    <t>электро</t>
  </si>
  <si>
    <t>г. Мурманск, ул. Бредова, д. 17</t>
  </si>
  <si>
    <t>г. Мурманск, ул. Героев Рыбачьего, д. 21</t>
  </si>
  <si>
    <t>г. Мурманск, ул. Полярный Круг, д. 4</t>
  </si>
  <si>
    <t>г. Мурманск, ул. Полярный Круг, д. 6</t>
  </si>
  <si>
    <t>г. Мурманск, ул. Полярный Круг, д. 8</t>
  </si>
  <si>
    <t>г. Мурманск, ул. Полярный Круг, д. 10</t>
  </si>
  <si>
    <t>г. Мурманск, ул. Загородная, д. 13</t>
  </si>
  <si>
    <t>г. Мурманск, ул. Прибрежная, д. 23</t>
  </si>
  <si>
    <t>г. Мурманск, ул. Прибрежная, д. 25</t>
  </si>
  <si>
    <t>г. Мурманск, пр. Кольский, д. 26</t>
  </si>
  <si>
    <t>г. Мурманск, ул. Туристов, д. 11а</t>
  </si>
  <si>
    <t>г. Мурманск, ул. Подгорная, д. 72</t>
  </si>
  <si>
    <t>г. Мурманск, ул. Крупской, д. 52</t>
  </si>
  <si>
    <t>г. Мурманск, ул. Декабристов, д. 10</t>
  </si>
  <si>
    <t>г. Мурманск, ул. Баумана, д. 10</t>
  </si>
  <si>
    <t>г. Мурманск, ул. Баумана, д. 38</t>
  </si>
  <si>
    <t>г. Мурманск, пр-кт Кирова, д. 15</t>
  </si>
  <si>
    <t>г. Мурманск, ул. Бондарная, д. 32</t>
  </si>
  <si>
    <t>г. Мурманск, пр-зд Ледокольный, д. 9</t>
  </si>
  <si>
    <t>г. Мурманск, ул. Халтурина, д. 16</t>
  </si>
  <si>
    <t>г. Мурманск, ул. Беринга, д. 7</t>
  </si>
  <si>
    <t>г. Мурманск, ул. им. капитана Копытова С.Д., д. 6</t>
  </si>
  <si>
    <t>г. Мурманск, пр-зд им. М. Бабикова, д. 5</t>
  </si>
  <si>
    <t>г. Мурманск, ул. Мурманская, д. 58</t>
  </si>
  <si>
    <t>г. Мурманск, ул. капитана Буркова, д. 25</t>
  </si>
  <si>
    <t>г. Мурманск, ул. капитана Буркова, д. 45</t>
  </si>
  <si>
    <t>г. Мурманск, ул. капитана Буркова, д. 13</t>
  </si>
  <si>
    <t>г. Мурманск, ул. капитана Буркова, д. 29</t>
  </si>
  <si>
    <t>г. Мурманск, ул. Капитана Маклакова, д. 18</t>
  </si>
  <si>
    <t>г. Мурманск, ул. Капитана Маклакова, д. 37</t>
  </si>
  <si>
    <t>г. Мурманск, ул. Адмирала флота Лобова, д. 34</t>
  </si>
  <si>
    <t>г. Мурманск, ул. имени Героя Советского Союза Сивко И.М., д. 3</t>
  </si>
  <si>
    <t>г. Мурманск, ул. Привокзальная, д. 20</t>
  </si>
  <si>
    <t>г. Мурманск, ул. Карла Либкнехта, д. 30а</t>
  </si>
  <si>
    <t>г. Мурманск, ул. Привокзальная, д. 24</t>
  </si>
  <si>
    <t>г. Мурманск, ул. имени академика Книповича Н.М., д. 9а</t>
  </si>
  <si>
    <t>г. Мурманск, ул. им. вице-адмирала Николаева, д. 9</t>
  </si>
  <si>
    <t>г. Мурманск, ул. Пищевиков, д. 6</t>
  </si>
  <si>
    <t>г. Мурманск, ул. им. Генерала А.А. Журбы, д. 4</t>
  </si>
  <si>
    <t>г. Мурманск, ул. имени Гаджиева, д. 8</t>
  </si>
  <si>
    <t>г. Мурманск, ул. Полярные Зори, д. 7</t>
  </si>
  <si>
    <t>г. Мурманск, пр. Кольский, д. 162</t>
  </si>
  <si>
    <t>г. Мурманск, пр-зд Связи, д. 16</t>
  </si>
  <si>
    <t>г. Мурманск, ул. Зои Космодемьянской, д. 1</t>
  </si>
  <si>
    <t>г. Мурманск, ул. Фадеев Ручей, д. 26</t>
  </si>
  <si>
    <t>г. Мурманск, ул. Фестивальная, д. 9</t>
  </si>
  <si>
    <t>г. Мурманск, ул. Крупской, д. 54</t>
  </si>
  <si>
    <t>г. Мурманск, пер. Якорный, д. 6</t>
  </si>
  <si>
    <t>г. Мурманск, ш. Верхне-Ростинское, д. 13</t>
  </si>
  <si>
    <t>г. Оленегорск, ул. Ветеранов, д. 6</t>
  </si>
  <si>
    <t>г. Оленегорск, ул. Капитана Иванова, д. 5</t>
  </si>
  <si>
    <t>г. Оленегорск, ул. Мира, д. 5</t>
  </si>
  <si>
    <t>г. Оленегорск, ул. Мира, д. 12</t>
  </si>
  <si>
    <t>г. Оленегорск, ул. Строительная, д. 72</t>
  </si>
  <si>
    <t>г. Оленегорск, ул. Южная, д. 5</t>
  </si>
  <si>
    <t>г. Мурманск, ул. Гвардейская, д. 7</t>
  </si>
  <si>
    <t>Итого по Мурманской области на 2017 год:</t>
  </si>
  <si>
    <t>Итого по муниципальному образованию на 2017 год:</t>
  </si>
  <si>
    <t>Итого Терский муниципальный район на 2017 год:</t>
  </si>
  <si>
    <t>Итого Ловозерский муниципальный район на 2017 год:</t>
  </si>
  <si>
    <t>Итого Кольский муниципальный район на 2017 год:</t>
  </si>
  <si>
    <t>Итого Кандалакшский муниципальный район на 2017 год:</t>
  </si>
  <si>
    <t>с. Алакуртти, наб. Нижняя, д. 5</t>
  </si>
  <si>
    <t>с. Алакуртти, ул. Кузнецова, д. 17</t>
  </si>
  <si>
    <t>Панельный</t>
  </si>
  <si>
    <t>г. Полярные Зори, пр-кт Нивский, д. 10</t>
  </si>
  <si>
    <t>г. Полярные Зори, пр-кт Нивский, д. 14</t>
  </si>
  <si>
    <t>г. Полярные Зори, ул. Партизан Заполярья, д. 7</t>
  </si>
  <si>
    <t xml:space="preserve">деревянные </t>
  </si>
  <si>
    <t>пгт Зеленоборский, ул. Заводская, д. 12</t>
  </si>
  <si>
    <t>пгт Зеленоборский, ул. Магистральная, д. 90</t>
  </si>
  <si>
    <t>пгт Зеленоборский, ул. Привокзальная, д. 10</t>
  </si>
  <si>
    <t>кирпич</t>
  </si>
  <si>
    <t>г. Кандалакша, ул. Чкалова, д. 39</t>
  </si>
  <si>
    <t>г. Кандалакша, ул. Кировская, д. 37</t>
  </si>
  <si>
    <t>г. Кандалакша, ул. Букина, д. 5</t>
  </si>
  <si>
    <t>г. Кандалакша, ул. Кировская аллея, д. 11</t>
  </si>
  <si>
    <t>г. Кандалакша, ул. Кировская аллея, д. 12</t>
  </si>
  <si>
    <t>пгт Верхнетуломский, ул. Падунская, д. 2</t>
  </si>
  <si>
    <t xml:space="preserve"> кирпич</t>
  </si>
  <si>
    <t>г. Кола, ул. Кривошеева, д. 9</t>
  </si>
  <si>
    <t>г. Кола, ул. Кривошеева, д. 11</t>
  </si>
  <si>
    <t>г. Кола, ул. Кривошеева, д. 6</t>
  </si>
  <si>
    <t>пгт Молочный, ул. Заречная, д. 3</t>
  </si>
  <si>
    <t>пгт Молочный, ул. Заречная, д. 6</t>
  </si>
  <si>
    <t xml:space="preserve">пгт Молочный, ул. Гальченко, д. 9 </t>
  </si>
  <si>
    <t>г. Кола, пр-кт Советский, д. 37</t>
  </si>
  <si>
    <t>г. Кола, пр-кт Советский, д. 15</t>
  </si>
  <si>
    <t>г. Кола, пр-кт Советский, д. 39</t>
  </si>
  <si>
    <t>г. Кола, пр-кт Советский, д. 42</t>
  </si>
  <si>
    <t>г. Кола, пр-кт Миронова, д. 22</t>
  </si>
  <si>
    <t>пгт Молочный, ул. Северная, д. 6</t>
  </si>
  <si>
    <t>г. Гаджиево, ул. Колышкина, д. 116</t>
  </si>
  <si>
    <t>г. Гаджиево, ул. Душенова, д. 87</t>
  </si>
  <si>
    <t>г. Гаджиево, ул. Душенова, д. 88</t>
  </si>
  <si>
    <t>г. Гаджиево, ул. Душенова, д. 90</t>
  </si>
  <si>
    <t>г. Гаджиево, ул. Мира, д. 80</t>
  </si>
  <si>
    <t>г. Гаджиево, ул. Мира, д. 81</t>
  </si>
  <si>
    <t>г. Гаджиево, ул. Колышкина, д. 129</t>
  </si>
  <si>
    <t>г. Снежногорск, мкр. Скальный, д. 3</t>
  </si>
  <si>
    <t>г. Снежногорск, ул. Победы, д. 1/1</t>
  </si>
  <si>
    <t>г. Снежногорск, ул. Октябрьская, д. 8</t>
  </si>
  <si>
    <t>г. Снежногорск, ул. Октябрьская, д. 10</t>
  </si>
  <si>
    <t>г. Снежногорск, ул. П. Стеблина, д. 35</t>
  </si>
  <si>
    <t>г. Снежногорск, ул. Октябрьская, д. 7</t>
  </si>
  <si>
    <t>г. Полярный, ул. Красный Горн, д. 21</t>
  </si>
  <si>
    <t>г. Полярный, ул. Героев "Тумана", д. 12</t>
  </si>
  <si>
    <t>г. Полярный, ул. Сивко, д. 1</t>
  </si>
  <si>
    <t>г. Полярный, ул. Сивко, д. 3</t>
  </si>
  <si>
    <t xml:space="preserve">г. Полярный, ул. Видяева, д. 11 </t>
  </si>
  <si>
    <t>г. Полярный, ул. Лунина, д. 7</t>
  </si>
  <si>
    <t>г. Полярный, ул. Советская, д. 2</t>
  </si>
  <si>
    <t>г. Полярный, ул. Фисановича, д. 1</t>
  </si>
  <si>
    <t>г. Полярный, ул. Фисановича, д. 3</t>
  </si>
  <si>
    <t>г. Полярный, ул. Душенова, д. 7</t>
  </si>
  <si>
    <t>г. Полярный, ул. Красный Горн, д. 19</t>
  </si>
  <si>
    <t xml:space="preserve">г. Полярный, ул. Сивко, д. 5 </t>
  </si>
  <si>
    <t xml:space="preserve">г. Гаджиево, ул. Душенова, д. 91 </t>
  </si>
  <si>
    <t>крупнопанельные</t>
  </si>
  <si>
    <t>крупнопанельные+кирпич</t>
  </si>
  <si>
    <t>5</t>
  </si>
  <si>
    <t>ВДИС</t>
  </si>
  <si>
    <t>крыша</t>
  </si>
  <si>
    <t>фасад</t>
  </si>
  <si>
    <t>г. Мончегорск, ул. Бредова, д. 15</t>
  </si>
  <si>
    <t>г. Мончегорск, пр. Металлургов, д. 22</t>
  </si>
  <si>
    <t>г. Мончегорск, ул. Бредова, д. 28</t>
  </si>
  <si>
    <t xml:space="preserve">г. Мончегорск, ул. Бредова, д. 5 </t>
  </si>
  <si>
    <t>г. Мончегорск, ул. Бредова, д. 26</t>
  </si>
  <si>
    <t>г. Мончегорск, ул. Ферсмана, д. 5</t>
  </si>
  <si>
    <t>шлакобл.</t>
  </si>
  <si>
    <t>г. Полярный, ул. Лунина, д. 12</t>
  </si>
  <si>
    <t>пгт Мурмаши, ул. Советская, д. 31</t>
  </si>
  <si>
    <t>пгт Мурмаши, ул. Советская, д. 15</t>
  </si>
  <si>
    <t>пгт Мурмаши, ул. Московская, д. 16</t>
  </si>
  <si>
    <t>пгт Мурмаши, ул. Советская, д. 6</t>
  </si>
  <si>
    <t>пгт Мурмаши, ул. Молодежная, д. 1</t>
  </si>
  <si>
    <t>деревянные</t>
  </si>
  <si>
    <t>Муниципальное образование сельское поселение Териберка Кольского района</t>
  </si>
  <si>
    <t xml:space="preserve">с. Териберка, ул. Пионерская, д. 7 
</t>
  </si>
  <si>
    <t>с. Ловозеро, ул. Вокуева, д. 9</t>
  </si>
  <si>
    <t>пгт Ревда, ул. Комсомольская, д. 17</t>
  </si>
  <si>
    <t>Кирпич</t>
  </si>
  <si>
    <t>Панель</t>
  </si>
  <si>
    <t>кирпичный</t>
  </si>
  <si>
    <t>панельный</t>
  </si>
  <si>
    <t>пгт Ревда, ул. Комсомольская, д. 19</t>
  </si>
  <si>
    <t xml:space="preserve">г. Полярный, ул. Моисеева, д. 4 </t>
  </si>
  <si>
    <t>пгт Никель, пр-кт Гвардейский, д. 8</t>
  </si>
  <si>
    <t>пгт Никель, ул. 14 Армии, д. 10</t>
  </si>
  <si>
    <t>пгт Никель, ул. Октябрьская, д. 6</t>
  </si>
  <si>
    <t>пгт Никель, пр-кт Гвардейский, д. 25</t>
  </si>
  <si>
    <t>пгт Никель, пр-кт Гвардейский, д. 12</t>
  </si>
  <si>
    <t>пгт Никель, пр-кт Гвардейский, д. 14</t>
  </si>
  <si>
    <t>пгт Никель, ул. Победы, д. 13</t>
  </si>
  <si>
    <t>пгт Никель, пр-кт Гвардейский, д. 13</t>
  </si>
  <si>
    <t>пгт Никель, пр-кт Гвардейский, д. 10</t>
  </si>
  <si>
    <t>пгт Никель, ул. Бредова, д. 1</t>
  </si>
  <si>
    <t>пгт Никель, пр-кт Гвардейский, д. 17</t>
  </si>
  <si>
    <t>пгт Никель, пр-кт Гвардейский, д. 18</t>
  </si>
  <si>
    <t>пгт Никель, пр-кт Гвардейский, д. 2</t>
  </si>
  <si>
    <t>пгт Никель, ул. Советская, д. 10</t>
  </si>
  <si>
    <t>пгт Никель, пер. Молодежный, д. 9</t>
  </si>
  <si>
    <t>пгт Никель, ул. Советская, д. 7а</t>
  </si>
  <si>
    <t>пгт Никель, ул. Советская, д. 7б</t>
  </si>
  <si>
    <t>пгт Кильдинстрой, ул. Советская, д. 12</t>
  </si>
  <si>
    <t>ж/д ст. Магнетиты, ул. Зеленая, д. 4</t>
  </si>
  <si>
    <t>г. Североморск, ул. Северная Застава, д. 6</t>
  </si>
  <si>
    <t>г. Североморск, ул. Северная Застава, д. 18</t>
  </si>
  <si>
    <t>г. Североморск, ул. Адмирала Сизова, д. 2</t>
  </si>
  <si>
    <t>г. Североморск, ул. Адмирала Сизова, д. 3</t>
  </si>
  <si>
    <t>г. Североморск, ул. Адмирала Сизова, д. 17</t>
  </si>
  <si>
    <t>г. Североморск, ул. Адмирала Сизова, д. 21</t>
  </si>
  <si>
    <t>г. Североморск, ул. Северная Застава, д. 32</t>
  </si>
  <si>
    <t>г. Североморск, ул. Колышкина, д. 7</t>
  </si>
  <si>
    <t>г. Североморск, ул. Колышкина, д. 9</t>
  </si>
  <si>
    <t>г. Североморск, ул. Колышкина, д. 14</t>
  </si>
  <si>
    <t>г. Североморск, ул. Кирова, д. 18</t>
  </si>
  <si>
    <t>г. Североморск, ул. Гаджиева, д. 11</t>
  </si>
  <si>
    <t>г. Североморск, ул. Гвардейская, д. 35</t>
  </si>
  <si>
    <t>г. Североморск, ул. Фулика, д. 3</t>
  </si>
  <si>
    <t>г. Североморск, ул. Фулика, д. 4</t>
  </si>
  <si>
    <t>г. Североморск, ул. Советская, д. 10</t>
  </si>
  <si>
    <t>г. Североморск, ул. Флотских Строителей, д. 2</t>
  </si>
  <si>
    <t>г. Североморск, ул. Кортик, д. 12</t>
  </si>
  <si>
    <t>пгт Сафоново, ул. Панина, д. 10</t>
  </si>
  <si>
    <t>г. Североморск, ул. Комсомольская, д. 26</t>
  </si>
  <si>
    <t>кр.пан.</t>
  </si>
  <si>
    <t>кирп.</t>
  </si>
  <si>
    <t>г. Мурманск, ул. Шевченко, д. 7а</t>
  </si>
  <si>
    <t>г. Гаджиево, ул. Ленина, д. 76</t>
  </si>
  <si>
    <t>г. Гаджиево, наб. С. Преминина, д. 123</t>
  </si>
  <si>
    <t>г. Гаджиево, наб. С. Преминина, д. 119</t>
  </si>
  <si>
    <t>пгт Сафоново, ул. Школьная, д. 9</t>
  </si>
  <si>
    <t>пгт Сафоново, ул. Преображенского, д. 3</t>
  </si>
  <si>
    <t>г. Мончегорск, ул. Бредова, д. 15а</t>
  </si>
  <si>
    <t>г. Мончегорск, пр. Металлургов, д. 68</t>
  </si>
  <si>
    <t>г. Североморск, ул. Душенова, д. 28</t>
  </si>
  <si>
    <t>Итого Печенгский муниципальный район на 2017 год:</t>
  </si>
  <si>
    <t>г. Мурманск, ул. Юрия Гагарина, д. 9, корп. 3</t>
  </si>
  <si>
    <t>г. Мурманск, ул. Юрия Гагарина, д. 9, корп. 2</t>
  </si>
  <si>
    <t>г. Мурманск, пр. Кольский, д. 104, корп. 1</t>
  </si>
  <si>
    <t>г. Заполярный, пер. Ясный, д. 6</t>
  </si>
  <si>
    <t>г. Заполярный, ул. Бабикова, д. 7/1</t>
  </si>
  <si>
    <t>г. Заполярный, ул. Бабикова, д. 15</t>
  </si>
  <si>
    <t>г. Заполярный, ул. Бабикова, д. 17</t>
  </si>
  <si>
    <t>г. Заполярный, ул. Карла Маркса, д. 3</t>
  </si>
  <si>
    <t>г. Заполярный, ул. Карла Маркса, д. 9</t>
  </si>
  <si>
    <t>г. Заполярный, ул. Космонавтов, д. 6</t>
  </si>
  <si>
    <t>г. Заполярный, ул. Космонавтов, д. 12</t>
  </si>
  <si>
    <t>г. Заполярный, ул. Крупской, д. 3</t>
  </si>
  <si>
    <t>г. Заполярный, ул. Крупской, д. 5</t>
  </si>
  <si>
    <t>г. Заполярный, ул. Ленина, д. 9</t>
  </si>
  <si>
    <t>г. Заполярный, ул. Ленина, д. 10</t>
  </si>
  <si>
    <t>г. Заполярный, ул. Ленина, д. 13</t>
  </si>
  <si>
    <t>г. Заполярный, ул. Мира, д. 2</t>
  </si>
  <si>
    <t>г. Заполярный, ул. Сафонова, д. 2</t>
  </si>
  <si>
    <t>г. Мурманск, пр. Героев-Североморцев, д. 7, корп. 1</t>
  </si>
  <si>
    <t>г. Мурманск, ул. Героев Рыбачьего, д. 35, корп. 1</t>
  </si>
  <si>
    <t>г. Мурманск, ул. имени Героя Советского Союза Сивко И.М., д. 9, корп. 2</t>
  </si>
  <si>
    <t>г. Мурманск, ул. Крупской, д. 40а</t>
  </si>
  <si>
    <t>г. Мурманск, ул. Свердлова, д. 10, корп. 1</t>
  </si>
  <si>
    <t>г. Мурманск, ул. Свердлова, д. 10, корп. 2</t>
  </si>
  <si>
    <t>г. Мурманск, ул. Свердлова, д. 10, корп. 3</t>
  </si>
  <si>
    <t>г. Мурманск, ул. Свердлова, д. 14, корп. 1</t>
  </si>
  <si>
    <t>г. Мурманск, ул. Свердлова, д. 6, корп. 1</t>
  </si>
  <si>
    <t xml:space="preserve">г. Мурманск, ул. Шмидта, д. 1, корп. 1 </t>
  </si>
  <si>
    <t>1970</t>
  </si>
  <si>
    <t>1972</t>
  </si>
  <si>
    <t>1971</t>
  </si>
  <si>
    <t>1952</t>
  </si>
  <si>
    <t>1975</t>
  </si>
  <si>
    <t>1953</t>
  </si>
  <si>
    <t>1947</t>
  </si>
  <si>
    <t>1991</t>
  </si>
  <si>
    <t>1951</t>
  </si>
  <si>
    <t>1948</t>
  </si>
  <si>
    <t>г. Мурманск, ул. Кильдинская, д. 21</t>
  </si>
  <si>
    <t>г. Мончегорск, наб. Климентьева, д. 3</t>
  </si>
  <si>
    <t>г. Заполярный, ул. Юбилейная, д. 4</t>
  </si>
  <si>
    <t>г. Кандалакша, ул. Фрунзе, д. 8</t>
  </si>
  <si>
    <t>г. Мончегорск, ул. Бредова, д. 5а</t>
  </si>
  <si>
    <t>г. Оленегорск, ул. Бардина, д. 36</t>
  </si>
  <si>
    <t>882,1/2786,90</t>
  </si>
  <si>
    <t>ОКН</t>
  </si>
  <si>
    <t>Адресный перечень многоквартирных домов, в отношении которых планируется проведение капитального ремонта общего имущества</t>
  </si>
  <si>
    <t>Объекты культурного наследия *</t>
  </si>
  <si>
    <t>*  Завершение капитального ремонта общего имущества в многоквартирных домах, являющихся объектами культурного наследия, возможно не позднее, чем 31 декабря года, следующего за годом, в котором запланировано начало работ.</t>
  </si>
  <si>
    <t>г. Мурманск, пр. Ленина, д. 72</t>
  </si>
  <si>
    <t>г. Мурманск, ул. Пищевиков, д. 9</t>
  </si>
  <si>
    <t>г. Мурманск, ул. Туристов, д. 45</t>
  </si>
  <si>
    <t>г. Мурманск, ул. Туристов, д. 47</t>
  </si>
  <si>
    <t>г. Мурманск, ул. Туристов, д. 49</t>
  </si>
  <si>
    <t>г. Мурманск, ул. Туристов, д. 51</t>
  </si>
  <si>
    <t>г. Мурманск, ул. Шмидта, д. 33а</t>
  </si>
  <si>
    <t>г. Мурманск, пр. Ленина, д. 20</t>
  </si>
  <si>
    <t>г. Мурманск, пр. Ленина, д. 22</t>
  </si>
  <si>
    <t>Муниципальное образование сельское поселение Тулома Кольского района</t>
  </si>
  <si>
    <t>г. Апатиты, ул. Ленина, д. 16</t>
  </si>
  <si>
    <t>г. Полярный, ул. Видяева, д. 7</t>
  </si>
  <si>
    <t>1931</t>
  </si>
  <si>
    <t>4</t>
  </si>
  <si>
    <t>г. Заполярный, пер. Стрельцова, д. 3</t>
  </si>
  <si>
    <t xml:space="preserve">Способ формирования фонда капитального ремонта - спецсчет </t>
  </si>
  <si>
    <t>да</t>
  </si>
  <si>
    <t>Муниципальное образование городское поселение Печенга Печенгского района</t>
  </si>
  <si>
    <t> 1968</t>
  </si>
  <si>
    <t xml:space="preserve">г. Североморск, ул. Сафонова, д. 6 </t>
  </si>
  <si>
    <t xml:space="preserve">г. Мурманск, ул. Капитана Маклакова, д. 20 </t>
  </si>
  <si>
    <t>г. Североморск, ул. Сафонова, д. 8</t>
  </si>
  <si>
    <t>г. Мурманск, пр. Ленина, д. 67</t>
  </si>
  <si>
    <t>г. Североморск, ул. Сафонова, д. 7</t>
  </si>
  <si>
    <t>г. Североморск, ул. Сафонова, д. 9</t>
  </si>
  <si>
    <t>г. Североморск, ул. Сафонова, д. 11</t>
  </si>
  <si>
    <t>г. Североморск, ул. Фулика, д. 5</t>
  </si>
  <si>
    <t>г. Кандалакша, ул. Кировская, д. 23</t>
  </si>
  <si>
    <t>г. Полярные Зори, пр-кт Нивский, д. 13</t>
  </si>
  <si>
    <t xml:space="preserve">к постановлению Правительства </t>
  </si>
  <si>
    <t>«Сводный краткосрочный план реализации региональной программы капитального ремонта общего имущества в многоквартирных домах, расположенных на территории Мурманской области, на 2017 год</t>
  </si>
  <si>
    <t>г. Кировск, ул. Кирова, д. 34</t>
  </si>
  <si>
    <t>скатная, в 2016 г была рассчитана стоим-ть по плоской крыше (ошибка ОМСУ)</t>
  </si>
  <si>
    <t>г. Гаджиево, ул. Ленина, д. 78</t>
  </si>
  <si>
    <t>г. Снежногорск, ул. В. Бирюкова, д. 11</t>
  </si>
  <si>
    <t>Приложение № 2</t>
  </si>
  <si>
    <t>жилрайон Росляково, ул. Молодежная, д. 16</t>
  </si>
  <si>
    <t>нп. Высокий, ул. Можаева, д. 17</t>
  </si>
  <si>
    <t>нп. Африканда, ул. Комсомольская, д. 6</t>
  </si>
  <si>
    <t>нп. Африканда, ул. Комсомольская, д. 7</t>
  </si>
  <si>
    <t>нп. Африканда, ул. Комсомольская, д. 8</t>
  </si>
  <si>
    <t>нп. Африканда, ул. Первомайская, д. 5</t>
  </si>
  <si>
    <t>нп. Африканда, ул. Первомайская, д. 7</t>
  </si>
  <si>
    <t>нп. Африканда, ул. Советская, д. 3</t>
  </si>
  <si>
    <t>нп. Африканда, ул. Советская, д. 7</t>
  </si>
  <si>
    <t>нп. Африканда, ул. Советская, д. 9</t>
  </si>
  <si>
    <t>нп. Зашеек, ул. Школьная, д. 10</t>
  </si>
  <si>
    <t xml:space="preserve">нп. Зашеек, ул. Северная аллея, д. 1 </t>
  </si>
  <si>
    <t>нп. Оленья Губа, ул. Дьяченко, д. 41</t>
  </si>
  <si>
    <t>п. Видяево, ул. Заречная, д. 34</t>
  </si>
  <si>
    <t>г. Заозерск, ул. Колышкина, д. 14</t>
  </si>
  <si>
    <t>г. Заозерск, ул. Колышкина, д. 7</t>
  </si>
  <si>
    <t>г. Островной, ул. Освобождения, д. 1</t>
  </si>
  <si>
    <t>нп. Лесозаводский, ул. Центральная, д. 41</t>
  </si>
  <si>
    <t>нп. Белое Море, д. 4</t>
  </si>
  <si>
    <t>нп. Нивский, ул. Букина, д. 1</t>
  </si>
  <si>
    <t>с. Минькино, д. 150а</t>
  </si>
  <si>
    <t>нп. Мишуково, д. 2а</t>
  </si>
  <si>
    <t>нп. Пушной, ул. Центральная, д. 12</t>
  </si>
  <si>
    <t xml:space="preserve">с. Тулома, ул. Ручьевая, д. 1 </t>
  </si>
  <si>
    <t>с. Тулома, ул. Ручьевая, д. 2</t>
  </si>
  <si>
    <t>нп. Лиинахамари, ул. Северная, д. 2</t>
  </si>
  <si>
    <t>нп. Лиинахамари, ул. Шабалина, д. 11</t>
  </si>
  <si>
    <t>нп. Лиинахамари, ул. Шабалина, д. 2</t>
  </si>
  <si>
    <t>пгт Умба, ул. Беломорская, д. 6</t>
  </si>
  <si>
    <t>пгт Умба, ул. Беломорская, д. 7а</t>
  </si>
  <si>
    <t>пгт Умба, ул. Совхозная, д. 17б</t>
  </si>
  <si>
    <t>г. Мурманск, ул. имени Ивана Ивановича Александрова, д. 40</t>
  </si>
  <si>
    <t>г. Апатиты, ул. Кирова, д. 6</t>
  </si>
  <si>
    <t>г. Апатиты, ул. Ленина, д. 12</t>
  </si>
  <si>
    <t>г. Апатиты, ул. Ленина, д. 6</t>
  </si>
  <si>
    <t>г. Апатиты, ул. Ферсмана, д. 10</t>
  </si>
  <si>
    <t>г. Кировск, пр. Ленина, д. 21а</t>
  </si>
  <si>
    <t>г. Кировск, пр. Ленина, д. 5</t>
  </si>
  <si>
    <t>г. Кировск, пр. Ленина, д. 9</t>
  </si>
  <si>
    <t xml:space="preserve">г. Кировск, ул. Мира, д. 6 </t>
  </si>
  <si>
    <t>г. Ковдор, пл. Ленина, д. 3</t>
  </si>
  <si>
    <t xml:space="preserve">г. Ковдор, ул. Горняков, д. 1 </t>
  </si>
  <si>
    <t>г. Ковдор, ул. Горняков, д. 3</t>
  </si>
  <si>
    <t>г. Ковдор, ул. Сухачева, д. 19</t>
  </si>
  <si>
    <t xml:space="preserve">г. Мончегорск, пр. Ленина, д. 7/42 </t>
  </si>
  <si>
    <t>г. Мончегорск, пр. Ленина, д. 9/23</t>
  </si>
  <si>
    <t xml:space="preserve">г. Мончегорск, пр. Металлургов, д. 27 </t>
  </si>
  <si>
    <t>г. Мончегорск, пр. Металлургов, д. 33</t>
  </si>
  <si>
    <t xml:space="preserve">г. Мончегорск, пр. Металлургов, д. 49 </t>
  </si>
  <si>
    <t xml:space="preserve">г. Мончегорск, пр. Металлургов, д. 70 </t>
  </si>
  <si>
    <t xml:space="preserve">г. Мончегорск, ул. Железнодорожная, д. 9  </t>
  </si>
  <si>
    <t xml:space="preserve">г. Мончегорск, ул. Комарова, д. 25 </t>
  </si>
  <si>
    <t xml:space="preserve">г. Мончегорск, ул. Стахановская, д. 15 </t>
  </si>
  <si>
    <t xml:space="preserve">г. Мончегорск, ул. Стахановская, д. 23 </t>
  </si>
  <si>
    <t xml:space="preserve">г. Мончегорск, ул. Стахановская, д. 27 </t>
  </si>
  <si>
    <t>г. Мончегорск, ул. Школьная, д. 2</t>
  </si>
  <si>
    <t>г. Мурманск, пер. Арктический, д. 12</t>
  </si>
  <si>
    <t>г. Мурманск, пр. Ленина, д. 13</t>
  </si>
  <si>
    <t>г. Мурманск, пр. Ленина, д. 17</t>
  </si>
  <si>
    <t xml:space="preserve">г. Мурманск, пр. Ленина, д. 18 </t>
  </si>
  <si>
    <t>г. Мурманск, пр. Ленина, д. 46</t>
  </si>
  <si>
    <t>г. Мурманск, пр. Ленина, д. 60</t>
  </si>
  <si>
    <t>г. Мурманск, пр. Ленина, д. 61</t>
  </si>
  <si>
    <t xml:space="preserve">г. Мурманск, пр. Ленина, д. 7 </t>
  </si>
  <si>
    <t>г. Мурманск, пр. Ленина, д. 76</t>
  </si>
  <si>
    <t>г. Мурманск, пр. Ленина, д. 78</t>
  </si>
  <si>
    <t>г. Мурманск, пр. Ленина, д. 79</t>
  </si>
  <si>
    <t>г. Мурманск, пр. Ленина, д. 80</t>
  </si>
  <si>
    <t>г. Мурманск, пр. Ленина, д. 81</t>
  </si>
  <si>
    <t>г. Мурманск, пр. Ленина, д. 83</t>
  </si>
  <si>
    <t xml:space="preserve">г. Мурманск, пр. Ленина, д. 84 </t>
  </si>
  <si>
    <t>г. Мурманск, пр. Ленина, д. 85</t>
  </si>
  <si>
    <t xml:space="preserve">г. Мурманск, пр. Ленина, д. 86 </t>
  </si>
  <si>
    <t>г. Мурманск, пр. Ленина, д. 92</t>
  </si>
  <si>
    <t>г. Мурманск, пр. Ленина, д. 94</t>
  </si>
  <si>
    <t>г. Мурманск, пр. Ленина, д. 95</t>
  </si>
  <si>
    <t>г. Мурманск, пр. Ленина, д. 96</t>
  </si>
  <si>
    <t>г. Мурманск, пр. Ленина, д. 98</t>
  </si>
  <si>
    <t>г. Мурманск, ул. Академика Павлова, д. 24</t>
  </si>
  <si>
    <t>г. Мурманск, ул. Академика Павлова, д. 26</t>
  </si>
  <si>
    <t>г. Мурманск, ул. Бондарная, д. 1</t>
  </si>
  <si>
    <t xml:space="preserve">г. Мурманск, ул. Володарского, д. 10 </t>
  </si>
  <si>
    <t>кирпич, до 6 эт.</t>
  </si>
  <si>
    <t>г. Мурманск, ул. Володарского, д. 2/12</t>
  </si>
  <si>
    <t>г. Мурманск, ул. Карла Либкнехта, д. 21/22</t>
  </si>
  <si>
    <t>г. Мурманск, ул. Карла Либкнехта, д. 27</t>
  </si>
  <si>
    <t>г. Мурманск, ул. Карла Маркса, д. 8/2</t>
  </si>
  <si>
    <t>г. Мурманск, ул. Коминтерна, д. 11/2</t>
  </si>
  <si>
    <t xml:space="preserve">г. Мурманск, ул. Комсомольская, д. 3 </t>
  </si>
  <si>
    <t xml:space="preserve">г. Мурманск, ул. Нахимова, д. 29 </t>
  </si>
  <si>
    <t xml:space="preserve">г. Мурманск, ул. Октябрьская, д. 9 </t>
  </si>
  <si>
    <t>г. Мурманск, ул. Папанина, д. 5</t>
  </si>
  <si>
    <t xml:space="preserve">г. Мурманск, ул. Пригородная, д. 43 </t>
  </si>
  <si>
    <t>г. Мурманск, ул. Пригородная, д. 45</t>
  </si>
  <si>
    <t xml:space="preserve">г. Мурманск, ул. Профсоюзов, д. 1 </t>
  </si>
  <si>
    <t>г. Мурманск, ул. Пушкинская, д. 12</t>
  </si>
  <si>
    <t>г. Мурманск, ул. Пушкинская, д. 5</t>
  </si>
  <si>
    <t>г. Мурманск, ул. Пушкинская, д. 7</t>
  </si>
  <si>
    <t xml:space="preserve">г. Мурманск, ул. Самойловой, д. 5 </t>
  </si>
  <si>
    <t xml:space="preserve">г. Мурманск, ул. Сафонова, д. 30 </t>
  </si>
  <si>
    <t>г. Мурманск, ул. Софьи Перовской, д. 6</t>
  </si>
  <si>
    <t xml:space="preserve">г. Мурманск, ул. Трудовых резервов, д. 6 </t>
  </si>
  <si>
    <t>г. Мурманск, ул. Челюскинцев, д. 11</t>
  </si>
  <si>
    <t>г. Мурманск, ул. Челюскинцев, д. 18/20</t>
  </si>
  <si>
    <t>г. Мурманск, ул. Челюскинцев, д. 20</t>
  </si>
  <si>
    <t xml:space="preserve">г. Мурманск, ул. Челюскинцев, д. 25 </t>
  </si>
  <si>
    <t>г. Мурманск, ул. Челюскинцев, д. 37</t>
  </si>
  <si>
    <t>г. Мурманск, ул. Челюскинцев, д. 7</t>
  </si>
  <si>
    <t>г. Мурманск, ул. Челюскинцев, д. 9</t>
  </si>
  <si>
    <t>г. Оленегорск, ул. Бардина, д. 14</t>
  </si>
  <si>
    <t>г. Оленегорск, ул. Бардина, д. 16</t>
  </si>
  <si>
    <t>г. Оленегорск, ул. Бардина, д. 18</t>
  </si>
  <si>
    <t>г. Оленегорск, ул. Бардина, д. 38</t>
  </si>
  <si>
    <t>г. Оленегорск, ул. Ветеранов, д. 14</t>
  </si>
  <si>
    <t>г. Кандалакша, ул. Фрунзе, д. 5</t>
  </si>
  <si>
    <t xml:space="preserve">пгт Мурмаши, ул. Полярная, д. 6 </t>
  </si>
  <si>
    <t xml:space="preserve">ж/д ст. Лопарская, ул. Восход, д. 13 </t>
  </si>
  <si>
    <t xml:space="preserve">пгт Ревда, ул. Победы, д. 14 </t>
  </si>
  <si>
    <t xml:space="preserve">пгт Ревда, ул. Победы, д. 16 </t>
  </si>
  <si>
    <t>г. Заполярный, пер. Короткий, д. 2</t>
  </si>
  <si>
    <t>пгт Никель, пр. Гвардейский, д. 23</t>
  </si>
  <si>
    <t xml:space="preserve">пгт Никель, пр. Гвардейский, д. 6/1  </t>
  </si>
  <si>
    <t xml:space="preserve">пгт Никель, ул. 14 Армии, д. 3 </t>
  </si>
  <si>
    <t xml:space="preserve">пгт Никель, ул. Печенгская, д. 11 </t>
  </si>
  <si>
    <t>пгт Умба, ул. Беломорская, д. 3</t>
  </si>
  <si>
    <t>пгт Умба, ул. Беломорская, д. 9</t>
  </si>
  <si>
    <t xml:space="preserve">пгт Умба, ул. Горная, д. 33 </t>
  </si>
  <si>
    <t>деревян, 2 эт.</t>
  </si>
  <si>
    <t>пгт Умба, ул. Горная, д. 52</t>
  </si>
  <si>
    <t>1955</t>
  </si>
  <si>
    <t xml:space="preserve">пгт Умба, ул. Дзержинского, д. 52 </t>
  </si>
  <si>
    <t>пгт Умба, ул. Победы, д. 37</t>
  </si>
  <si>
    <t>г. Кандалакша, ул. Кировская, д. 17</t>
  </si>
  <si>
    <t>г. Кандалакша, ул. Первомайская, д. 22</t>
  </si>
  <si>
    <t>г. Оленегорск, ул. Бардина, д. 22</t>
  </si>
  <si>
    <t>Разработка ПСД по фасаду, ремонт фасада планируют в 2018 г</t>
  </si>
  <si>
    <t>г. Полярные Зори, ул. Ломоносова, д. 25, корп. 1</t>
  </si>
  <si>
    <t>г. Полярные Зори, ул. Ломоносова, д. 25, корп. 2</t>
  </si>
  <si>
    <t>пгт Зеленоборский, ул. Первомайская, д. 5а</t>
  </si>
  <si>
    <t>пгт Молочный, ул. Гальченко, д. 13</t>
  </si>
  <si>
    <t>п. Видяево, ул. Центральная, д. 7</t>
  </si>
  <si>
    <t>** Предельная стоимость работ, выполняемых за счет средств фонда капитального ремонта, формируемого на счете НКО «ФКР МО»,  расчитанная на дату проведения конкурсного отбора подрядной организации, в соответствии с предельной стоимостью работ, утвержденной постановлением Правительства Мурманской области.".</t>
  </si>
  <si>
    <r>
      <t xml:space="preserve">от </t>
    </r>
    <r>
      <rPr>
        <u/>
        <sz val="40"/>
        <rFont val="Times New Roman"/>
        <family val="1"/>
        <charset val="204"/>
      </rPr>
      <t>14.03.2017</t>
    </r>
    <r>
      <rPr>
        <sz val="40"/>
        <rFont val="Times New Roman"/>
        <family val="1"/>
        <charset val="204"/>
      </rPr>
      <t xml:space="preserve"> №</t>
    </r>
    <r>
      <rPr>
        <u/>
        <sz val="40"/>
        <rFont val="Times New Roman"/>
        <family val="1"/>
        <charset val="204"/>
      </rPr>
      <t xml:space="preserve"> 126-ПП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</si>
</sst>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[$-419]General"/>
    <numFmt numFmtId="166" formatCode="_-* #,##0.000_р_._-;\-* #,##0.000_р_._-;_-* &quot;-&quot;??_р_._-;_-@_-"/>
    <numFmt numFmtId="167" formatCode="#,##0.0"/>
    <numFmt numFmtId="168" formatCode="0.0"/>
    <numFmt numFmtId="169" formatCode="_-* #,##0.0_р_._-;\-* #,##0.0_р_._-;_-* &quot;-&quot;??_р_._-;_-@_-"/>
    <numFmt numFmtId="170" formatCode="#,##0.00;[Red]#,##0.00"/>
    <numFmt numFmtId="171" formatCode="#,##0.0_ ;\-#,##0.0\ "/>
    <numFmt numFmtId="172" formatCode="_-* #,##0.0000_р_._-;\-* #,##0.0000_р_._-;_-* &quot;-&quot;??_р_._-;_-@_-"/>
    <numFmt numFmtId="173" formatCode="_-* #,##0_р_._-;\-* #,##0_р_._-;_-* &quot;-&quot;??_р_._-;_-@_-"/>
    <numFmt numFmtId="174" formatCode="#,##0.0_р_.;\-#,##0.0_р_."/>
  </numFmts>
  <fonts count="46" x14ac:knownFonts="1"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32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indexed="6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40"/>
      <name val="Times New Roman"/>
      <family val="1"/>
      <charset val="204"/>
    </font>
    <font>
      <u/>
      <sz val="40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94BD5E"/>
      </patternFill>
    </fill>
    <fill>
      <patternFill patternType="solid">
        <fgColor theme="0"/>
        <bgColor rgb="FF92D050"/>
      </patternFill>
    </fill>
    <fill>
      <patternFill patternType="solid">
        <fgColor theme="0"/>
        <bgColor indexed="26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 style="thin">
        <color indexed="0"/>
      </left>
      <right/>
      <top style="thin">
        <color indexed="64"/>
      </top>
      <bottom/>
      <diagonal/>
    </border>
    <border>
      <left/>
      <right style="thin">
        <color indexed="0"/>
      </right>
      <top style="thin">
        <color indexed="64"/>
      </top>
      <bottom/>
      <diagonal/>
    </border>
    <border>
      <left/>
      <right/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0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/>
      <right/>
      <top style="thin">
        <color indexed="0"/>
      </top>
      <bottom/>
      <diagonal/>
    </border>
    <border>
      <left/>
      <right/>
      <top/>
      <bottom style="thin">
        <color indexed="0"/>
      </bottom>
      <diagonal/>
    </border>
    <border>
      <left style="thin">
        <color indexed="64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rgb="FF000000"/>
      </right>
      <top style="thin">
        <color indexed="0"/>
      </top>
      <bottom style="thin">
        <color auto="1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auto="1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</borders>
  <cellStyleXfs count="32">
    <xf numFmtId="0" fontId="0" fillId="0" borderId="0" applyNumberFormat="0" applyBorder="0" applyProtection="0">
      <alignment horizontal="left" vertical="center" wrapText="1"/>
    </xf>
    <xf numFmtId="165" fontId="16" fillId="0" borderId="0" applyBorder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7" fillId="8" borderId="25" applyNumberFormat="0" applyAlignment="0" applyProtection="0"/>
    <xf numFmtId="0" fontId="18" fillId="9" borderId="26" applyNumberFormat="0" applyAlignment="0" applyProtection="0"/>
    <xf numFmtId="0" fontId="19" fillId="9" borderId="25" applyNumberFormat="0" applyAlignment="0" applyProtection="0"/>
    <xf numFmtId="0" fontId="20" fillId="0" borderId="27" applyNumberFormat="0" applyFill="0" applyAlignment="0" applyProtection="0"/>
    <xf numFmtId="0" fontId="21" fillId="0" borderId="28" applyNumberFormat="0" applyFill="0" applyAlignment="0" applyProtection="0"/>
    <xf numFmtId="0" fontId="22" fillId="0" borderId="2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30" applyNumberFormat="0" applyFill="0" applyAlignment="0" applyProtection="0"/>
    <xf numFmtId="0" fontId="24" fillId="10" borderId="31" applyNumberFormat="0" applyAlignment="0" applyProtection="0"/>
    <xf numFmtId="0" fontId="25" fillId="0" borderId="0" applyNumberFormat="0" applyFill="0" applyBorder="0" applyAlignment="0" applyProtection="0"/>
    <xf numFmtId="0" fontId="26" fillId="11" borderId="0" applyNumberFormat="0" applyBorder="0" applyAlignment="0" applyProtection="0"/>
    <xf numFmtId="0" fontId="9" fillId="0" borderId="0"/>
    <xf numFmtId="0" fontId="2" fillId="0" borderId="0" applyNumberFormat="0" applyBorder="0" applyProtection="0">
      <alignment horizontal="left" vertical="center" wrapText="1"/>
    </xf>
    <xf numFmtId="0" fontId="2" fillId="0" borderId="0" applyNumberFormat="0" applyBorder="0" applyProtection="0">
      <alignment horizontal="left" vertical="center" wrapText="1"/>
    </xf>
    <xf numFmtId="0" fontId="27" fillId="12" borderId="0" applyNumberFormat="0" applyBorder="0" applyAlignment="0" applyProtection="0"/>
    <xf numFmtId="0" fontId="28" fillId="0" borderId="0" applyNumberFormat="0" applyFill="0" applyBorder="0" applyAlignment="0" applyProtection="0"/>
    <xf numFmtId="0" fontId="14" fillId="13" borderId="32" applyNumberFormat="0" applyFont="0" applyAlignment="0" applyProtection="0"/>
    <xf numFmtId="0" fontId="29" fillId="0" borderId="33" applyNumberFormat="0" applyFill="0" applyAlignment="0" applyProtection="0"/>
    <xf numFmtId="0" fontId="30" fillId="0" borderId="0" applyNumberFormat="0" applyFill="0" applyBorder="0" applyAlignment="0" applyProtection="0"/>
    <xf numFmtId="164" fontId="2" fillId="0" borderId="0" applyFont="0" applyFill="0" applyBorder="0" applyAlignment="0" applyProtection="0">
      <alignment horizontal="left" vertical="center" wrapText="1"/>
    </xf>
    <xf numFmtId="164" fontId="2" fillId="0" borderId="0" applyFont="0" applyFill="0" applyBorder="0" applyAlignment="0" applyProtection="0">
      <alignment horizontal="left" vertical="center" wrapText="1"/>
    </xf>
    <xf numFmtId="0" fontId="31" fillId="14" borderId="0" applyNumberFormat="0" applyBorder="0" applyAlignment="0" applyProtection="0"/>
    <xf numFmtId="0" fontId="2" fillId="0" borderId="0" applyNumberFormat="0" applyBorder="0" applyProtection="0">
      <alignment horizontal="left" vertical="center"/>
    </xf>
    <xf numFmtId="0" fontId="1" fillId="13" borderId="32" applyNumberFormat="0" applyFont="0" applyAlignment="0" applyProtection="0"/>
  </cellStyleXfs>
  <cellXfs count="466">
    <xf numFmtId="0" fontId="0" fillId="0" borderId="0" xfId="0">
      <alignment horizontal="left" vertical="center" wrapText="1"/>
    </xf>
    <xf numFmtId="164" fontId="7" fillId="15" borderId="0" xfId="27" applyFont="1" applyFill="1" applyBorder="1" applyAlignment="1">
      <alignment horizontal="right" vertical="center" wrapText="1"/>
    </xf>
    <xf numFmtId="0" fontId="0" fillId="15" borderId="0" xfId="0" applyFill="1">
      <alignment horizontal="left" vertical="center" wrapText="1"/>
    </xf>
    <xf numFmtId="164" fontId="7" fillId="15" borderId="0" xfId="27" applyFont="1" applyFill="1" applyBorder="1" applyAlignment="1">
      <alignment horizontal="center" vertical="center" wrapText="1"/>
    </xf>
    <xf numFmtId="0" fontId="0" fillId="15" borderId="0" xfId="0" applyFill="1" applyAlignment="1">
      <alignment horizontal="left" vertical="top" wrapText="1"/>
    </xf>
    <xf numFmtId="0" fontId="0" fillId="15" borderId="0" xfId="0" applyFill="1" applyAlignment="1">
      <alignment horizontal="center" vertical="top" wrapText="1"/>
    </xf>
    <xf numFmtId="0" fontId="0" fillId="15" borderId="0" xfId="0" applyFill="1" applyAlignment="1">
      <alignment horizontal="right" vertical="top" wrapText="1"/>
    </xf>
    <xf numFmtId="164" fontId="2" fillId="15" borderId="0" xfId="27" applyNumberFormat="1" applyFont="1" applyFill="1" applyAlignment="1">
      <alignment horizontal="right" vertical="top" wrapText="1"/>
    </xf>
    <xf numFmtId="0" fontId="0" fillId="15" borderId="0" xfId="0" applyFill="1" applyAlignment="1">
      <alignment horizontal="center" vertical="center" wrapText="1"/>
    </xf>
    <xf numFmtId="0" fontId="0" fillId="15" borderId="0" xfId="0" applyFill="1" applyAlignment="1">
      <alignment horizontal="right" vertical="center" wrapText="1"/>
    </xf>
    <xf numFmtId="164" fontId="2" fillId="15" borderId="0" xfId="27" applyNumberFormat="1" applyFont="1" applyFill="1" applyAlignment="1">
      <alignment horizontal="right" vertical="center" wrapText="1"/>
    </xf>
    <xf numFmtId="0" fontId="6" fillId="15" borderId="0" xfId="0" applyFont="1" applyFill="1">
      <alignment horizontal="left" vertical="center" wrapText="1"/>
    </xf>
    <xf numFmtId="0" fontId="6" fillId="15" borderId="0" xfId="0" applyFont="1" applyFill="1" applyAlignment="1">
      <alignment horizontal="right" vertical="center" wrapText="1"/>
    </xf>
    <xf numFmtId="164" fontId="6" fillId="15" borderId="0" xfId="27" applyNumberFormat="1" applyFont="1" applyFill="1" applyAlignment="1">
      <alignment horizontal="right" vertical="center" wrapText="1"/>
    </xf>
    <xf numFmtId="0" fontId="4" fillId="15" borderId="0" xfId="0" applyFont="1" applyFill="1" applyAlignment="1">
      <alignment horizontal="center" vertical="center" wrapText="1"/>
    </xf>
    <xf numFmtId="0" fontId="4" fillId="15" borderId="0" xfId="0" applyFont="1" applyFill="1" applyAlignment="1">
      <alignment horizontal="right" vertical="center" wrapText="1"/>
    </xf>
    <xf numFmtId="164" fontId="4" fillId="15" borderId="0" xfId="27" applyNumberFormat="1" applyFont="1" applyFill="1" applyAlignment="1">
      <alignment horizontal="right" vertical="center" wrapText="1"/>
    </xf>
    <xf numFmtId="0" fontId="6" fillId="15" borderId="5" xfId="0" applyFont="1" applyFill="1" applyBorder="1" applyAlignment="1">
      <alignment horizontal="center" vertical="center" textRotation="90" wrapText="1"/>
    </xf>
    <xf numFmtId="164" fontId="6" fillId="15" borderId="5" xfId="27" applyNumberFormat="1" applyFont="1" applyFill="1" applyBorder="1" applyAlignment="1">
      <alignment horizontal="center" vertical="center" wrapText="1"/>
    </xf>
    <xf numFmtId="0" fontId="6" fillId="15" borderId="5" xfId="27" applyNumberFormat="1" applyFont="1" applyFill="1" applyBorder="1" applyAlignment="1">
      <alignment horizontal="center" vertical="center" wrapText="1"/>
    </xf>
    <xf numFmtId="14" fontId="6" fillId="15" borderId="5" xfId="0" applyNumberFormat="1" applyFont="1" applyFill="1" applyBorder="1" applyAlignment="1">
      <alignment horizontal="center" vertical="center" wrapText="1"/>
    </xf>
    <xf numFmtId="164" fontId="7" fillId="15" borderId="1" xfId="27" applyFont="1" applyFill="1" applyBorder="1" applyAlignment="1">
      <alignment horizontal="center" vertical="center" wrapText="1"/>
    </xf>
    <xf numFmtId="0" fontId="6" fillId="15" borderId="0" xfId="0" applyFont="1" applyFill="1" applyBorder="1" applyAlignment="1">
      <alignment horizontal="center" vertical="center" wrapText="1"/>
    </xf>
    <xf numFmtId="0" fontId="0" fillId="15" borderId="0" xfId="0" applyFont="1" applyFill="1">
      <alignment horizontal="left" vertical="center" wrapText="1"/>
    </xf>
    <xf numFmtId="0" fontId="6" fillId="15" borderId="6" xfId="0" applyFont="1" applyFill="1" applyBorder="1" applyAlignment="1">
      <alignment horizontal="left" vertical="center" wrapText="1"/>
    </xf>
    <xf numFmtId="164" fontId="7" fillId="15" borderId="1" xfId="27" applyNumberFormat="1" applyFont="1" applyFill="1" applyBorder="1" applyAlignment="1">
      <alignment horizontal="right" vertical="center" wrapText="1"/>
    </xf>
    <xf numFmtId="164" fontId="7" fillId="15" borderId="1" xfId="27" applyFont="1" applyFill="1" applyBorder="1" applyAlignment="1">
      <alignment horizontal="right" vertical="center" wrapText="1"/>
    </xf>
    <xf numFmtId="0" fontId="3" fillId="15" borderId="0" xfId="0" applyFont="1" applyFill="1" applyBorder="1" applyAlignment="1">
      <alignment horizontal="center" vertical="center" wrapText="1"/>
    </xf>
    <xf numFmtId="0" fontId="3" fillId="15" borderId="7" xfId="0" applyFont="1" applyFill="1" applyBorder="1" applyAlignment="1">
      <alignment horizontal="center" vertical="center" wrapText="1"/>
    </xf>
    <xf numFmtId="0" fontId="6" fillId="15" borderId="1" xfId="0" applyFont="1" applyFill="1" applyBorder="1">
      <alignment horizontal="left" vertical="center" wrapText="1"/>
    </xf>
    <xf numFmtId="164" fontId="6" fillId="15" borderId="6" xfId="27" applyFont="1" applyFill="1" applyBorder="1" applyAlignment="1">
      <alignment horizontal="right" vertical="center" wrapText="1"/>
    </xf>
    <xf numFmtId="167" fontId="6" fillId="15" borderId="5" xfId="0" applyNumberFormat="1" applyFont="1" applyFill="1" applyBorder="1" applyAlignment="1">
      <alignment horizontal="right" vertical="center" wrapText="1"/>
    </xf>
    <xf numFmtId="167" fontId="6" fillId="15" borderId="1" xfId="0" applyNumberFormat="1" applyFont="1" applyFill="1" applyBorder="1" applyAlignment="1">
      <alignment horizontal="right" vertical="center" wrapText="1"/>
    </xf>
    <xf numFmtId="166" fontId="6" fillId="15" borderId="5" xfId="27" applyNumberFormat="1" applyFont="1" applyFill="1" applyBorder="1" applyAlignment="1">
      <alignment horizontal="right" vertical="center" wrapText="1"/>
    </xf>
    <xf numFmtId="0" fontId="6" fillId="15" borderId="1" xfId="0" applyFont="1" applyFill="1" applyBorder="1" applyAlignment="1">
      <alignment horizontal="left" vertical="center"/>
    </xf>
    <xf numFmtId="0" fontId="7" fillId="15" borderId="0" xfId="0" applyFont="1" applyFill="1" applyBorder="1" applyAlignment="1">
      <alignment horizontal="center" vertical="center" wrapText="1"/>
    </xf>
    <xf numFmtId="0" fontId="6" fillId="15" borderId="5" xfId="0" applyNumberFormat="1" applyFont="1" applyFill="1" applyBorder="1" applyAlignment="1">
      <alignment horizontal="center" vertical="center" wrapText="1"/>
    </xf>
    <xf numFmtId="4" fontId="6" fillId="15" borderId="1" xfId="21" applyNumberFormat="1" applyFont="1" applyFill="1" applyBorder="1" applyAlignment="1">
      <alignment horizontal="right" vertical="center" wrapText="1"/>
    </xf>
    <xf numFmtId="0" fontId="6" fillId="15" borderId="1" xfId="21" applyFont="1" applyFill="1" applyBorder="1" applyAlignment="1">
      <alignment horizontal="center" vertical="center" wrapText="1"/>
    </xf>
    <xf numFmtId="4" fontId="7" fillId="15" borderId="1" xfId="21" applyNumberFormat="1" applyFont="1" applyFill="1" applyBorder="1" applyAlignment="1">
      <alignment horizontal="right" vertical="center" wrapText="1"/>
    </xf>
    <xf numFmtId="0" fontId="32" fillId="15" borderId="1" xfId="0" applyFont="1" applyFill="1" applyBorder="1" applyAlignment="1">
      <alignment horizontal="center" vertical="center"/>
    </xf>
    <xf numFmtId="4" fontId="33" fillId="15" borderId="1" xfId="0" applyNumberFormat="1" applyFont="1" applyFill="1" applyBorder="1" applyAlignment="1">
      <alignment horizontal="right" vertical="center" wrapText="1"/>
    </xf>
    <xf numFmtId="4" fontId="6" fillId="15" borderId="12" xfId="21" applyNumberFormat="1" applyFont="1" applyFill="1" applyBorder="1" applyAlignment="1">
      <alignment horizontal="right" vertical="center" wrapText="1"/>
    </xf>
    <xf numFmtId="4" fontId="32" fillId="15" borderId="1" xfId="0" applyNumberFormat="1" applyFont="1" applyFill="1" applyBorder="1" applyAlignment="1">
      <alignment horizontal="right" vertical="center"/>
    </xf>
    <xf numFmtId="164" fontId="6" fillId="15" borderId="1" xfId="27" applyNumberFormat="1" applyFont="1" applyFill="1" applyBorder="1" applyAlignment="1">
      <alignment horizontal="center" vertical="center" wrapText="1"/>
    </xf>
    <xf numFmtId="164" fontId="7" fillId="15" borderId="5" xfId="27" applyFont="1" applyFill="1" applyBorder="1" applyAlignment="1">
      <alignment horizontal="right" vertical="center" wrapText="1"/>
    </xf>
    <xf numFmtId="0" fontId="6" fillId="15" borderId="5" xfId="0" applyFont="1" applyFill="1" applyBorder="1" applyAlignment="1">
      <alignment horizontal="center" vertical="center" wrapText="1"/>
    </xf>
    <xf numFmtId="0" fontId="6" fillId="15" borderId="5" xfId="0" applyFont="1" applyFill="1" applyBorder="1" applyAlignment="1">
      <alignment horizontal="left" vertical="center" wrapText="1"/>
    </xf>
    <xf numFmtId="164" fontId="6" fillId="15" borderId="5" xfId="27" applyFont="1" applyFill="1" applyBorder="1" applyAlignment="1">
      <alignment horizontal="right" vertical="center" wrapText="1"/>
    </xf>
    <xf numFmtId="164" fontId="6" fillId="15" borderId="5" xfId="27" applyNumberFormat="1" applyFont="1" applyFill="1" applyBorder="1" applyAlignment="1">
      <alignment horizontal="right" vertical="center" wrapText="1"/>
    </xf>
    <xf numFmtId="164" fontId="6" fillId="15" borderId="1" xfId="27" applyFont="1" applyFill="1" applyBorder="1" applyAlignment="1">
      <alignment horizontal="left" vertical="center" wrapText="1"/>
    </xf>
    <xf numFmtId="164" fontId="7" fillId="15" borderId="5" xfId="27" applyNumberFormat="1" applyFont="1" applyFill="1" applyBorder="1" applyAlignment="1">
      <alignment horizontal="right" vertical="center" wrapText="1"/>
    </xf>
    <xf numFmtId="0" fontId="7" fillId="15" borderId="5" xfId="0" applyFont="1" applyFill="1" applyBorder="1" applyAlignment="1">
      <alignment horizontal="center" vertical="center" wrapText="1"/>
    </xf>
    <xf numFmtId="169" fontId="7" fillId="15" borderId="5" xfId="27" applyNumberFormat="1" applyFont="1" applyFill="1" applyBorder="1" applyAlignment="1">
      <alignment horizontal="right" vertical="center" wrapText="1"/>
    </xf>
    <xf numFmtId="0" fontId="33" fillId="15" borderId="1" xfId="0" applyFont="1" applyFill="1" applyBorder="1" applyAlignment="1">
      <alignment horizontal="center" vertical="center"/>
    </xf>
    <xf numFmtId="164" fontId="6" fillId="15" borderId="9" xfId="27" applyNumberFormat="1" applyFont="1" applyFill="1" applyBorder="1" applyAlignment="1">
      <alignment horizontal="right" vertical="center" wrapText="1"/>
    </xf>
    <xf numFmtId="0" fontId="6" fillId="15" borderId="1" xfId="0" applyFont="1" applyFill="1" applyBorder="1" applyAlignment="1">
      <alignment horizontal="center"/>
    </xf>
    <xf numFmtId="167" fontId="6" fillId="15" borderId="1" xfId="0" applyNumberFormat="1" applyFont="1" applyFill="1" applyBorder="1" applyAlignment="1">
      <alignment horizontal="right"/>
    </xf>
    <xf numFmtId="4" fontId="6" fillId="15" borderId="1" xfId="0" applyNumberFormat="1" applyFont="1" applyFill="1" applyBorder="1" applyAlignment="1">
      <alignment horizontal="right" vertical="center" wrapText="1"/>
    </xf>
    <xf numFmtId="4" fontId="6" fillId="15" borderId="1" xfId="0" applyNumberFormat="1" applyFont="1" applyFill="1" applyBorder="1" applyAlignment="1">
      <alignment horizontal="right"/>
    </xf>
    <xf numFmtId="4" fontId="0" fillId="15" borderId="0" xfId="0" applyNumberFormat="1" applyFill="1">
      <alignment horizontal="left" vertical="center" wrapText="1"/>
    </xf>
    <xf numFmtId="167" fontId="6" fillId="15" borderId="5" xfId="27" applyNumberFormat="1" applyFont="1" applyFill="1" applyBorder="1" applyAlignment="1">
      <alignment horizontal="right" vertical="center" wrapText="1"/>
    </xf>
    <xf numFmtId="167" fontId="33" fillId="15" borderId="1" xfId="0" applyNumberFormat="1" applyFont="1" applyFill="1" applyBorder="1" applyAlignment="1">
      <alignment horizontal="right" vertical="center"/>
    </xf>
    <xf numFmtId="4" fontId="33" fillId="15" borderId="1" xfId="0" applyNumberFormat="1" applyFont="1" applyFill="1" applyBorder="1" applyAlignment="1">
      <alignment horizontal="right" vertical="center"/>
    </xf>
    <xf numFmtId="167" fontId="7" fillId="15" borderId="5" xfId="27" applyNumberFormat="1" applyFont="1" applyFill="1" applyBorder="1" applyAlignment="1">
      <alignment horizontal="right" vertical="center" wrapText="1"/>
    </xf>
    <xf numFmtId="0" fontId="6" fillId="15" borderId="1" xfId="0" applyFont="1" applyFill="1" applyBorder="1" applyAlignment="1">
      <alignment horizontal="left" vertical="center" wrapText="1"/>
    </xf>
    <xf numFmtId="0" fontId="6" fillId="15" borderId="5" xfId="0" applyFont="1" applyFill="1" applyBorder="1" applyAlignment="1">
      <alignment vertical="center" wrapText="1"/>
    </xf>
    <xf numFmtId="169" fontId="6" fillId="15" borderId="1" xfId="27" applyNumberFormat="1" applyFont="1" applyFill="1" applyBorder="1" applyAlignment="1">
      <alignment horizontal="right" wrapText="1"/>
    </xf>
    <xf numFmtId="0" fontId="33" fillId="15" borderId="1" xfId="0" applyFont="1" applyFill="1" applyBorder="1" applyAlignment="1">
      <alignment horizontal="center" vertical="center" wrapText="1"/>
    </xf>
    <xf numFmtId="164" fontId="6" fillId="15" borderId="1" xfId="27" applyFont="1" applyFill="1" applyBorder="1" applyAlignment="1">
      <alignment horizontal="right" vertical="center" wrapText="1"/>
    </xf>
    <xf numFmtId="164" fontId="7" fillId="15" borderId="3" xfId="27" applyFont="1" applyFill="1" applyBorder="1" applyAlignment="1">
      <alignment horizontal="right" vertical="center" wrapText="1"/>
    </xf>
    <xf numFmtId="164" fontId="2" fillId="15" borderId="0" xfId="27" applyNumberFormat="1" applyFont="1" applyFill="1">
      <alignment horizontal="left" vertical="center" wrapText="1"/>
    </xf>
    <xf numFmtId="0" fontId="6" fillId="15" borderId="0" xfId="0" applyFont="1" applyFill="1" applyBorder="1" applyAlignment="1">
      <alignment horizontal="left" wrapText="1"/>
    </xf>
    <xf numFmtId="4" fontId="5" fillId="15" borderId="0" xfId="0" applyNumberFormat="1" applyFont="1" applyFill="1" applyAlignment="1">
      <alignment horizontal="right" vertical="center" wrapText="1"/>
    </xf>
    <xf numFmtId="164" fontId="5" fillId="15" borderId="0" xfId="0" applyNumberFormat="1" applyFont="1" applyFill="1" applyAlignment="1">
      <alignment horizontal="right" vertical="center" wrapText="1"/>
    </xf>
    <xf numFmtId="0" fontId="5" fillId="15" borderId="0" xfId="0" applyFont="1" applyFill="1" applyAlignment="1">
      <alignment horizontal="right" vertical="center" wrapText="1"/>
    </xf>
    <xf numFmtId="0" fontId="0" fillId="15" borderId="16" xfId="0" applyFill="1" applyBorder="1" applyAlignment="1">
      <alignment horizontal="right" vertical="center" wrapText="1"/>
    </xf>
    <xf numFmtId="164" fontId="0" fillId="15" borderId="0" xfId="0" applyNumberFormat="1" applyFill="1" applyAlignment="1">
      <alignment horizontal="right" vertical="center" wrapText="1"/>
    </xf>
    <xf numFmtId="0" fontId="7" fillId="15" borderId="3" xfId="0" applyFont="1" applyFill="1" applyBorder="1" applyAlignment="1">
      <alignment horizontal="center" vertical="center" wrapText="1"/>
    </xf>
    <xf numFmtId="164" fontId="7" fillId="15" borderId="3" xfId="27" applyNumberFormat="1" applyFont="1" applyFill="1" applyBorder="1" applyAlignment="1">
      <alignment horizontal="right" vertical="center" wrapText="1"/>
    </xf>
    <xf numFmtId="164" fontId="7" fillId="15" borderId="6" xfId="27" applyFont="1" applyFill="1" applyBorder="1" applyAlignment="1">
      <alignment horizontal="center" vertical="center" wrapText="1"/>
    </xf>
    <xf numFmtId="0" fontId="0" fillId="15" borderId="15" xfId="0" applyFill="1" applyBorder="1">
      <alignment horizontal="left" vertical="center" wrapText="1"/>
    </xf>
    <xf numFmtId="0" fontId="0" fillId="15" borderId="15" xfId="0" applyFill="1" applyBorder="1" applyAlignment="1">
      <alignment horizontal="center" vertical="center" wrapText="1"/>
    </xf>
    <xf numFmtId="164" fontId="2" fillId="15" borderId="15" xfId="27" applyNumberFormat="1" applyFont="1" applyFill="1" applyBorder="1">
      <alignment horizontal="left" vertical="center" wrapText="1"/>
    </xf>
    <xf numFmtId="0" fontId="11" fillId="15" borderId="0" xfId="0" applyFont="1" applyFill="1" applyAlignment="1">
      <alignment horizontal="right" vertical="center" wrapText="1"/>
    </xf>
    <xf numFmtId="164" fontId="11" fillId="15" borderId="0" xfId="27" applyNumberFormat="1" applyFont="1" applyFill="1" applyAlignment="1">
      <alignment horizontal="right" vertical="center" wrapText="1"/>
    </xf>
    <xf numFmtId="4" fontId="11" fillId="15" borderId="0" xfId="27" applyNumberFormat="1" applyFont="1" applyFill="1" applyAlignment="1">
      <alignment horizontal="right" vertical="center" wrapText="1"/>
    </xf>
    <xf numFmtId="4" fontId="4" fillId="15" borderId="0" xfId="27" applyNumberFormat="1" applyFont="1" applyFill="1" applyAlignment="1">
      <alignment horizontal="right" vertical="center" wrapText="1"/>
    </xf>
    <xf numFmtId="4" fontId="6" fillId="15" borderId="5" xfId="27" applyNumberFormat="1" applyFont="1" applyFill="1" applyBorder="1" applyAlignment="1">
      <alignment horizontal="center" vertical="center" textRotation="90" wrapText="1"/>
    </xf>
    <xf numFmtId="4" fontId="6" fillId="15" borderId="5" xfId="27" applyNumberFormat="1" applyFont="1" applyFill="1" applyBorder="1" applyAlignment="1">
      <alignment horizontal="center" vertical="center" wrapText="1"/>
    </xf>
    <xf numFmtId="4" fontId="7" fillId="15" borderId="1" xfId="27" applyNumberFormat="1" applyFont="1" applyFill="1" applyBorder="1" applyAlignment="1">
      <alignment horizontal="right" vertical="center" wrapText="1"/>
    </xf>
    <xf numFmtId="4" fontId="6" fillId="15" borderId="5" xfId="27" applyNumberFormat="1" applyFont="1" applyFill="1" applyBorder="1" applyAlignment="1">
      <alignment horizontal="right" vertical="center" wrapText="1"/>
    </xf>
    <xf numFmtId="4" fontId="7" fillId="15" borderId="3" xfId="27" applyNumberFormat="1" applyFont="1" applyFill="1" applyBorder="1" applyAlignment="1">
      <alignment horizontal="right" vertical="center" wrapText="1"/>
    </xf>
    <xf numFmtId="4" fontId="7" fillId="15" borderId="5" xfId="27" applyNumberFormat="1" applyFont="1" applyFill="1" applyBorder="1" applyAlignment="1">
      <alignment horizontal="right" vertical="center" wrapText="1"/>
    </xf>
    <xf numFmtId="4" fontId="33" fillId="15" borderId="1" xfId="27" applyNumberFormat="1" applyFont="1" applyFill="1" applyBorder="1" applyAlignment="1">
      <alignment horizontal="right" vertical="center" wrapText="1"/>
    </xf>
    <xf numFmtId="4" fontId="0" fillId="15" borderId="15" xfId="0" applyNumberFormat="1" applyFill="1" applyBorder="1">
      <alignment horizontal="left" vertical="center" wrapText="1"/>
    </xf>
    <xf numFmtId="4" fontId="6" fillId="15" borderId="0" xfId="0" applyNumberFormat="1" applyFont="1" applyFill="1" applyBorder="1" applyAlignment="1">
      <alignment horizontal="left" wrapText="1"/>
    </xf>
    <xf numFmtId="4" fontId="2" fillId="15" borderId="0" xfId="27" applyNumberFormat="1" applyFont="1" applyFill="1" applyAlignment="1">
      <alignment horizontal="right" vertical="center" wrapText="1"/>
    </xf>
    <xf numFmtId="4" fontId="5" fillId="15" borderId="0" xfId="27" applyNumberFormat="1" applyFont="1" applyFill="1" applyAlignment="1">
      <alignment horizontal="right" vertical="center" wrapText="1"/>
    </xf>
    <xf numFmtId="4" fontId="0" fillId="15" borderId="0" xfId="0" applyNumberFormat="1" applyFill="1" applyAlignment="1">
      <alignment horizontal="right" vertical="center" wrapText="1"/>
    </xf>
    <xf numFmtId="3" fontId="6" fillId="15" borderId="5" xfId="27" applyNumberFormat="1" applyFont="1" applyFill="1" applyBorder="1" applyAlignment="1">
      <alignment horizontal="center" vertical="center" wrapText="1"/>
    </xf>
    <xf numFmtId="4" fontId="0" fillId="15" borderId="0" xfId="0" applyNumberFormat="1" applyFill="1" applyAlignment="1">
      <alignment horizontal="right" vertical="top" wrapText="1"/>
    </xf>
    <xf numFmtId="4" fontId="6" fillId="15" borderId="0" xfId="0" applyNumberFormat="1" applyFont="1" applyFill="1" applyAlignment="1">
      <alignment horizontal="right" vertical="center" wrapText="1"/>
    </xf>
    <xf numFmtId="4" fontId="11" fillId="15" borderId="0" xfId="0" applyNumberFormat="1" applyFont="1" applyFill="1" applyAlignment="1">
      <alignment horizontal="right" vertical="center" wrapText="1"/>
    </xf>
    <xf numFmtId="4" fontId="4" fillId="15" borderId="0" xfId="0" applyNumberFormat="1" applyFont="1" applyFill="1" applyAlignment="1">
      <alignment horizontal="right" vertical="center" wrapText="1"/>
    </xf>
    <xf numFmtId="4" fontId="6" fillId="15" borderId="5" xfId="0" applyNumberFormat="1" applyFont="1" applyFill="1" applyBorder="1" applyAlignment="1">
      <alignment horizontal="center" vertical="center" wrapText="1"/>
    </xf>
    <xf numFmtId="4" fontId="35" fillId="15" borderId="0" xfId="0" applyNumberFormat="1" applyFont="1" applyFill="1" applyAlignment="1">
      <alignment horizontal="right" vertical="center" wrapText="1"/>
    </xf>
    <xf numFmtId="4" fontId="0" fillId="15" borderId="15" xfId="0" applyNumberFormat="1" applyFill="1" applyBorder="1" applyAlignment="1">
      <alignment horizontal="right" vertical="center" wrapText="1"/>
    </xf>
    <xf numFmtId="0" fontId="6" fillId="15" borderId="10" xfId="0" applyFont="1" applyFill="1" applyBorder="1" applyAlignment="1">
      <alignment horizontal="center" vertical="center" wrapText="1"/>
    </xf>
    <xf numFmtId="4" fontId="7" fillId="15" borderId="8" xfId="27" applyNumberFormat="1" applyFont="1" applyFill="1" applyBorder="1" applyAlignment="1">
      <alignment horizontal="right" vertical="center" wrapText="1"/>
    </xf>
    <xf numFmtId="0" fontId="6" fillId="15" borderId="9" xfId="20" applyFont="1" applyFill="1" applyBorder="1" applyAlignment="1">
      <alignment horizontal="left" vertical="center" wrapText="1"/>
    </xf>
    <xf numFmtId="0" fontId="0" fillId="15" borderId="1" xfId="0" applyFont="1" applyFill="1" applyBorder="1">
      <alignment horizontal="left" vertical="center" wrapText="1"/>
    </xf>
    <xf numFmtId="0" fontId="33" fillId="18" borderId="1" xfId="0" applyFont="1" applyFill="1" applyBorder="1" applyAlignment="1">
      <alignment horizontal="center" vertical="center" wrapText="1"/>
    </xf>
    <xf numFmtId="167" fontId="32" fillId="16" borderId="35" xfId="27" applyNumberFormat="1" applyFont="1" applyFill="1" applyBorder="1" applyAlignment="1" applyProtection="1">
      <alignment horizontal="right"/>
    </xf>
    <xf numFmtId="167" fontId="32" fillId="15" borderId="34" xfId="27" applyNumberFormat="1" applyFont="1" applyFill="1" applyBorder="1" applyAlignment="1" applyProtection="1">
      <alignment horizontal="right"/>
    </xf>
    <xf numFmtId="167" fontId="32" fillId="17" borderId="35" xfId="27" applyNumberFormat="1" applyFont="1" applyFill="1" applyBorder="1" applyAlignment="1" applyProtection="1">
      <alignment horizontal="right"/>
    </xf>
    <xf numFmtId="167" fontId="33" fillId="15" borderId="1" xfId="19" applyNumberFormat="1" applyFont="1" applyFill="1" applyBorder="1"/>
    <xf numFmtId="167" fontId="33" fillId="15" borderId="1" xfId="19" applyNumberFormat="1" applyFont="1" applyFill="1" applyBorder="1" applyAlignment="1">
      <alignment horizontal="right"/>
    </xf>
    <xf numFmtId="0" fontId="7" fillId="15" borderId="4" xfId="0" applyFont="1" applyFill="1" applyBorder="1" applyAlignment="1">
      <alignment horizontal="center" vertical="center" wrapText="1"/>
    </xf>
    <xf numFmtId="1" fontId="6" fillId="15" borderId="1" xfId="27" applyNumberFormat="1" applyFont="1" applyFill="1" applyBorder="1" applyAlignment="1">
      <alignment horizontal="center" vertical="center" wrapText="1"/>
    </xf>
    <xf numFmtId="0" fontId="6" fillId="15" borderId="38" xfId="0" applyFont="1" applyFill="1" applyBorder="1" applyAlignment="1">
      <alignment horizontal="justify" vertical="center" wrapText="1"/>
    </xf>
    <xf numFmtId="167" fontId="6" fillId="15" borderId="1" xfId="27" applyNumberFormat="1" applyFont="1" applyFill="1" applyBorder="1" applyAlignment="1">
      <alignment horizontal="right"/>
    </xf>
    <xf numFmtId="167" fontId="6" fillId="15" borderId="45" xfId="0" applyNumberFormat="1" applyFont="1" applyFill="1" applyBorder="1" applyAlignment="1">
      <alignment horizontal="right"/>
    </xf>
    <xf numFmtId="167" fontId="6" fillId="15" borderId="45" xfId="27" applyNumberFormat="1" applyFont="1" applyFill="1" applyBorder="1" applyAlignment="1">
      <alignment horizontal="right"/>
    </xf>
    <xf numFmtId="167" fontId="7" fillId="15" borderId="1" xfId="21" applyNumberFormat="1" applyFont="1" applyFill="1" applyBorder="1" applyAlignment="1">
      <alignment horizontal="right" vertical="center" wrapText="1"/>
    </xf>
    <xf numFmtId="2" fontId="0" fillId="15" borderId="1" xfId="0" applyNumberFormat="1" applyFont="1" applyFill="1" applyBorder="1">
      <alignment horizontal="left" vertical="center" wrapText="1"/>
    </xf>
    <xf numFmtId="167" fontId="6" fillId="15" borderId="1" xfId="27" applyNumberFormat="1" applyFont="1" applyFill="1" applyBorder="1" applyAlignment="1">
      <alignment horizontal="right" vertical="center" wrapText="1"/>
    </xf>
    <xf numFmtId="0" fontId="6" fillId="15" borderId="46" xfId="0" applyFont="1" applyFill="1" applyBorder="1" applyAlignment="1"/>
    <xf numFmtId="0" fontId="6" fillId="15" borderId="46" xfId="0" applyFont="1" applyFill="1" applyBorder="1" applyAlignment="1">
      <alignment horizontal="center" vertical="center"/>
    </xf>
    <xf numFmtId="167" fontId="6" fillId="15" borderId="46" xfId="0" applyNumberFormat="1" applyFont="1" applyFill="1" applyBorder="1" applyAlignment="1"/>
    <xf numFmtId="0" fontId="6" fillId="15" borderId="46" xfId="0" applyFont="1" applyFill="1" applyBorder="1" applyAlignment="1">
      <alignment horizontal="center"/>
    </xf>
    <xf numFmtId="167" fontId="7" fillId="15" borderId="3" xfId="27" applyNumberFormat="1" applyFont="1" applyFill="1" applyBorder="1" applyAlignment="1">
      <alignment horizontal="right" vertical="center" wrapText="1"/>
    </xf>
    <xf numFmtId="0" fontId="6" fillId="15" borderId="6" xfId="0" applyFont="1" applyFill="1" applyBorder="1" applyAlignment="1">
      <alignment horizontal="center" vertical="center" wrapText="1"/>
    </xf>
    <xf numFmtId="167" fontId="6" fillId="15" borderId="10" xfId="27" applyNumberFormat="1" applyFont="1" applyFill="1" applyBorder="1" applyAlignment="1">
      <alignment horizontal="right" vertical="center" wrapText="1"/>
    </xf>
    <xf numFmtId="167" fontId="6" fillId="15" borderId="46" xfId="0" applyNumberFormat="1" applyFont="1" applyFill="1" applyBorder="1" applyAlignment="1">
      <alignment horizontal="right" vertical="center" wrapText="1"/>
    </xf>
    <xf numFmtId="167" fontId="6" fillId="15" borderId="38" xfId="27" applyNumberFormat="1" applyFont="1" applyFill="1" applyBorder="1" applyAlignment="1">
      <alignment horizontal="right" vertical="center" wrapText="1"/>
    </xf>
    <xf numFmtId="167" fontId="6" fillId="15" borderId="48" xfId="27" applyNumberFormat="1" applyFont="1" applyFill="1" applyBorder="1" applyAlignment="1">
      <alignment horizontal="right" vertical="center" wrapText="1"/>
    </xf>
    <xf numFmtId="0" fontId="6" fillId="15" borderId="46" xfId="0" applyFont="1" applyFill="1" applyBorder="1" applyAlignment="1">
      <alignment horizontal="center" vertical="center" wrapText="1"/>
    </xf>
    <xf numFmtId="0" fontId="6" fillId="15" borderId="46" xfId="0" applyFont="1" applyFill="1" applyBorder="1" applyAlignment="1">
      <alignment horizontal="left" vertical="center" wrapText="1"/>
    </xf>
    <xf numFmtId="169" fontId="6" fillId="15" borderId="50" xfId="27" applyNumberFormat="1" applyFont="1" applyFill="1" applyBorder="1" applyAlignment="1">
      <alignment horizontal="right" vertical="center" wrapText="1"/>
    </xf>
    <xf numFmtId="0" fontId="6" fillId="15" borderId="50" xfId="0" applyFont="1" applyFill="1" applyBorder="1" applyAlignment="1">
      <alignment horizontal="center" vertical="center" wrapText="1"/>
    </xf>
    <xf numFmtId="0" fontId="6" fillId="15" borderId="50" xfId="0" applyFont="1" applyFill="1" applyBorder="1" applyAlignment="1">
      <alignment horizontal="left" vertical="center" wrapText="1"/>
    </xf>
    <xf numFmtId="4" fontId="7" fillId="15" borderId="0" xfId="0" applyNumberFormat="1" applyFont="1" applyFill="1" applyAlignment="1">
      <alignment horizontal="center" vertical="center" wrapText="1"/>
    </xf>
    <xf numFmtId="3" fontId="6" fillId="15" borderId="5" xfId="0" applyNumberFormat="1" applyFont="1" applyFill="1" applyBorder="1" applyAlignment="1">
      <alignment horizontal="center" vertical="center" wrapText="1"/>
    </xf>
    <xf numFmtId="0" fontId="33" fillId="15" borderId="1" xfId="0" applyFont="1" applyFill="1" applyBorder="1" applyAlignment="1">
      <alignment horizontal="center"/>
    </xf>
    <xf numFmtId="4" fontId="33" fillId="15" borderId="1" xfId="0" applyNumberFormat="1" applyFont="1" applyFill="1" applyBorder="1" applyAlignment="1">
      <alignment horizontal="left"/>
    </xf>
    <xf numFmtId="0" fontId="6" fillId="15" borderId="1" xfId="0" applyFont="1" applyFill="1" applyBorder="1" applyAlignment="1">
      <alignment horizontal="center" vertical="center"/>
    </xf>
    <xf numFmtId="167" fontId="6" fillId="15" borderId="37" xfId="0" applyNumberFormat="1" applyFont="1" applyFill="1" applyBorder="1" applyAlignment="1">
      <alignment horizontal="right" vertical="center" wrapText="1"/>
    </xf>
    <xf numFmtId="0" fontId="6" fillId="15" borderId="37" xfId="0" applyFont="1" applyFill="1" applyBorder="1" applyAlignment="1">
      <alignment horizontal="left" vertical="top" wrapText="1"/>
    </xf>
    <xf numFmtId="0" fontId="6" fillId="15" borderId="37" xfId="0" applyFont="1" applyFill="1" applyBorder="1" applyAlignment="1">
      <alignment horizontal="center" vertical="top" wrapText="1"/>
    </xf>
    <xf numFmtId="0" fontId="6" fillId="15" borderId="38" xfId="0" applyFont="1" applyFill="1" applyBorder="1" applyAlignment="1">
      <alignment horizontal="center" vertical="top" wrapText="1"/>
    </xf>
    <xf numFmtId="0" fontId="6" fillId="15" borderId="39" xfId="0" applyFont="1" applyFill="1" applyBorder="1" applyAlignment="1">
      <alignment horizontal="center" vertical="top" wrapText="1"/>
    </xf>
    <xf numFmtId="170" fontId="6" fillId="15" borderId="5" xfId="0" applyNumberFormat="1" applyFont="1" applyFill="1" applyBorder="1" applyAlignment="1">
      <alignment horizontal="right" vertical="center"/>
    </xf>
    <xf numFmtId="4" fontId="6" fillId="15" borderId="37" xfId="0" applyNumberFormat="1" applyFont="1" applyFill="1" applyBorder="1" applyAlignment="1">
      <alignment horizontal="right" vertical="center" wrapText="1"/>
    </xf>
    <xf numFmtId="0" fontId="6" fillId="15" borderId="37" xfId="30" applyFont="1" applyFill="1" applyBorder="1" applyAlignment="1">
      <alignment horizontal="left" vertical="top" wrapText="1"/>
    </xf>
    <xf numFmtId="0" fontId="6" fillId="15" borderId="37" xfId="30" applyFont="1" applyFill="1" applyBorder="1" applyAlignment="1">
      <alignment horizontal="center" vertical="top" wrapText="1"/>
    </xf>
    <xf numFmtId="0" fontId="6" fillId="15" borderId="38" xfId="30" applyFont="1" applyFill="1" applyBorder="1" applyAlignment="1">
      <alignment horizontal="center" vertical="top" wrapText="1"/>
    </xf>
    <xf numFmtId="0" fontId="37" fillId="15" borderId="37" xfId="0" applyFont="1" applyFill="1" applyBorder="1" applyAlignment="1">
      <alignment horizontal="left" vertical="center" wrapText="1"/>
    </xf>
    <xf numFmtId="0" fontId="37" fillId="15" borderId="38" xfId="0" applyFont="1" applyFill="1" applyBorder="1" applyAlignment="1">
      <alignment horizontal="center" vertical="center" wrapText="1"/>
    </xf>
    <xf numFmtId="0" fontId="34" fillId="15" borderId="38" xfId="0" applyFont="1" applyFill="1" applyBorder="1" applyAlignment="1">
      <alignment horizontal="center" vertical="top" wrapText="1"/>
    </xf>
    <xf numFmtId="0" fontId="6" fillId="15" borderId="36" xfId="0" applyFont="1" applyFill="1" applyBorder="1" applyAlignment="1">
      <alignment horizontal="left" vertical="top" wrapText="1"/>
    </xf>
    <xf numFmtId="0" fontId="6" fillId="15" borderId="36" xfId="0" applyFont="1" applyFill="1" applyBorder="1" applyAlignment="1">
      <alignment horizontal="center" vertical="top" wrapText="1"/>
    </xf>
    <xf numFmtId="0" fontId="6" fillId="15" borderId="40" xfId="0" applyFont="1" applyFill="1" applyBorder="1" applyAlignment="1">
      <alignment horizontal="center" vertical="top" wrapText="1"/>
    </xf>
    <xf numFmtId="0" fontId="6" fillId="15" borderId="55" xfId="0" applyFont="1" applyFill="1" applyBorder="1" applyAlignment="1">
      <alignment horizontal="left" vertical="center"/>
    </xf>
    <xf numFmtId="0" fontId="10" fillId="15" borderId="1" xfId="0" applyFont="1" applyFill="1" applyBorder="1" applyAlignment="1">
      <alignment horizontal="left" vertical="center" wrapText="1"/>
    </xf>
    <xf numFmtId="0" fontId="10" fillId="15" borderId="5" xfId="0" applyFont="1" applyFill="1" applyBorder="1" applyAlignment="1">
      <alignment horizontal="center" vertical="center" wrapText="1"/>
    </xf>
    <xf numFmtId="0" fontId="10" fillId="15" borderId="5" xfId="0" applyFont="1" applyFill="1" applyBorder="1" applyAlignment="1">
      <alignment horizontal="left" vertical="center" wrapText="1"/>
    </xf>
    <xf numFmtId="167" fontId="10" fillId="15" borderId="5" xfId="0" applyNumberFormat="1" applyFont="1" applyFill="1" applyBorder="1" applyAlignment="1">
      <alignment horizontal="right" vertical="center" wrapText="1"/>
    </xf>
    <xf numFmtId="167" fontId="6" fillId="15" borderId="45" xfId="0" applyNumberFormat="1" applyFont="1" applyFill="1" applyBorder="1" applyAlignment="1">
      <alignment horizontal="right" vertical="center" wrapText="1"/>
    </xf>
    <xf numFmtId="164" fontId="6" fillId="15" borderId="49" xfId="27" applyNumberFormat="1" applyFont="1" applyFill="1" applyBorder="1" applyAlignment="1">
      <alignment horizontal="right" vertical="center" wrapText="1"/>
    </xf>
    <xf numFmtId="164" fontId="6" fillId="15" borderId="49" xfId="27" applyFont="1" applyFill="1" applyBorder="1" applyAlignment="1">
      <alignment horizontal="right" vertical="center" wrapText="1"/>
    </xf>
    <xf numFmtId="4" fontId="6" fillId="15" borderId="49" xfId="27" applyNumberFormat="1" applyFont="1" applyFill="1" applyBorder="1" applyAlignment="1">
      <alignment horizontal="right" vertical="center" wrapText="1"/>
    </xf>
    <xf numFmtId="0" fontId="6" fillId="15" borderId="5" xfId="20" applyFont="1" applyFill="1" applyBorder="1" applyAlignment="1">
      <alignment horizontal="left" vertical="center" wrapText="1"/>
    </xf>
    <xf numFmtId="167" fontId="6" fillId="15" borderId="1" xfId="0" applyNumberFormat="1" applyFont="1" applyFill="1" applyBorder="1" applyAlignment="1">
      <alignment horizontal="right" vertical="center"/>
    </xf>
    <xf numFmtId="167" fontId="6" fillId="15" borderId="5" xfId="20" applyNumberFormat="1" applyFont="1" applyFill="1" applyBorder="1" applyAlignment="1">
      <alignment horizontal="right" vertical="center" wrapText="1"/>
    </xf>
    <xf numFmtId="172" fontId="6" fillId="15" borderId="0" xfId="0" applyNumberFormat="1" applyFont="1" applyFill="1">
      <alignment horizontal="left" vertical="center" wrapText="1"/>
    </xf>
    <xf numFmtId="0" fontId="6" fillId="15" borderId="49" xfId="0" applyFont="1" applyFill="1" applyBorder="1" applyAlignment="1">
      <alignment horizontal="center" vertical="center" wrapText="1"/>
    </xf>
    <xf numFmtId="0" fontId="6" fillId="15" borderId="38" xfId="0" applyFont="1" applyFill="1" applyBorder="1" applyAlignment="1">
      <alignment horizontal="center" vertical="center" wrapText="1"/>
    </xf>
    <xf numFmtId="0" fontId="6" fillId="15" borderId="6" xfId="0" applyFont="1" applyFill="1" applyBorder="1" applyAlignment="1">
      <alignment horizontal="center" vertical="center"/>
    </xf>
    <xf numFmtId="0" fontId="10" fillId="15" borderId="0" xfId="0" applyFont="1" applyFill="1" applyBorder="1" applyAlignment="1">
      <alignment horizontal="center" vertical="center" wrapText="1"/>
    </xf>
    <xf numFmtId="0" fontId="7" fillId="15" borderId="56" xfId="0" applyFont="1" applyFill="1" applyBorder="1" applyAlignment="1">
      <alignment horizontal="center" vertical="center" wrapText="1"/>
    </xf>
    <xf numFmtId="169" fontId="6" fillId="15" borderId="5" xfId="27" applyNumberFormat="1" applyFont="1" applyFill="1" applyBorder="1" applyAlignment="1">
      <alignment horizontal="right" vertical="center" wrapText="1"/>
    </xf>
    <xf numFmtId="0" fontId="36" fillId="15" borderId="37" xfId="0" applyFont="1" applyFill="1" applyBorder="1" applyAlignment="1">
      <alignment horizontal="left" vertical="center" wrapText="1"/>
    </xf>
    <xf numFmtId="0" fontId="36" fillId="15" borderId="37" xfId="0" applyFont="1" applyFill="1" applyBorder="1" applyAlignment="1">
      <alignment horizontal="center" vertical="center" wrapText="1"/>
    </xf>
    <xf numFmtId="0" fontId="36" fillId="15" borderId="38" xfId="0" applyFont="1" applyFill="1" applyBorder="1" applyAlignment="1">
      <alignment horizontal="center" vertical="center" wrapText="1"/>
    </xf>
    <xf numFmtId="0" fontId="33" fillId="15" borderId="1" xfId="0" applyFont="1" applyFill="1" applyBorder="1" applyAlignment="1"/>
    <xf numFmtId="171" fontId="33" fillId="15" borderId="1" xfId="27" applyNumberFormat="1" applyFont="1" applyFill="1" applyBorder="1" applyAlignment="1">
      <alignment horizontal="right"/>
    </xf>
    <xf numFmtId="0" fontId="6" fillId="15" borderId="1" xfId="0" applyFont="1" applyFill="1" applyBorder="1" applyAlignment="1">
      <alignment wrapText="1"/>
    </xf>
    <xf numFmtId="0" fontId="6" fillId="15" borderId="1" xfId="0" applyFont="1" applyFill="1" applyBorder="1" applyAlignment="1">
      <alignment horizontal="center" wrapText="1"/>
    </xf>
    <xf numFmtId="0" fontId="6" fillId="15" borderId="65" xfId="0" applyFont="1" applyFill="1" applyBorder="1" applyAlignment="1">
      <alignment horizontal="center" vertical="center" wrapText="1"/>
    </xf>
    <xf numFmtId="0" fontId="7" fillId="15" borderId="66" xfId="0" applyFont="1" applyFill="1" applyBorder="1" applyAlignment="1">
      <alignment horizontal="center" vertical="center" wrapText="1"/>
    </xf>
    <xf numFmtId="0" fontId="6" fillId="15" borderId="49" xfId="0" applyNumberFormat="1" applyFont="1" applyFill="1" applyBorder="1" applyAlignment="1">
      <alignment horizontal="center" vertical="center" wrapText="1"/>
    </xf>
    <xf numFmtId="0" fontId="7" fillId="15" borderId="49" xfId="0" applyFont="1" applyFill="1" applyBorder="1" applyAlignment="1">
      <alignment horizontal="center" vertical="center" wrapText="1"/>
    </xf>
    <xf numFmtId="0" fontId="10" fillId="15" borderId="49" xfId="0" applyFont="1" applyFill="1" applyBorder="1" applyAlignment="1">
      <alignment horizontal="center" vertical="center" wrapText="1"/>
    </xf>
    <xf numFmtId="0" fontId="6" fillId="15" borderId="52" xfId="0" applyFont="1" applyFill="1" applyBorder="1" applyAlignment="1">
      <alignment horizontal="center" vertical="center"/>
    </xf>
    <xf numFmtId="0" fontId="7" fillId="15" borderId="24" xfId="0" applyFont="1" applyFill="1" applyBorder="1" applyAlignment="1">
      <alignment horizontal="center" vertical="center" wrapText="1"/>
    </xf>
    <xf numFmtId="164" fontId="7" fillId="15" borderId="49" xfId="27" applyNumberFormat="1" applyFont="1" applyFill="1" applyBorder="1" applyAlignment="1">
      <alignment horizontal="right" vertical="center" wrapText="1"/>
    </xf>
    <xf numFmtId="164" fontId="7" fillId="15" borderId="49" xfId="27" applyFont="1" applyFill="1" applyBorder="1" applyAlignment="1">
      <alignment horizontal="right" vertical="center" wrapText="1"/>
    </xf>
    <xf numFmtId="4" fontId="7" fillId="15" borderId="49" xfId="27" applyNumberFormat="1" applyFont="1" applyFill="1" applyBorder="1" applyAlignment="1">
      <alignment horizontal="right" vertical="center" wrapText="1"/>
    </xf>
    <xf numFmtId="169" fontId="7" fillId="15" borderId="49" xfId="27" applyNumberFormat="1" applyFont="1" applyFill="1" applyBorder="1" applyAlignment="1">
      <alignment horizontal="right" vertical="center" wrapText="1"/>
    </xf>
    <xf numFmtId="0" fontId="0" fillId="15" borderId="0" xfId="0" applyFill="1" applyAlignment="1">
      <alignment horizontal="left" vertical="center" wrapText="1"/>
    </xf>
    <xf numFmtId="0" fontId="7" fillId="15" borderId="5" xfId="0" applyFont="1" applyFill="1" applyBorder="1" applyAlignment="1">
      <alignment horizontal="left" vertical="center" wrapText="1"/>
    </xf>
    <xf numFmtId="167" fontId="6" fillId="15" borderId="52" xfId="0" applyNumberFormat="1" applyFont="1" applyFill="1" applyBorder="1" applyAlignment="1">
      <alignment horizontal="right" vertical="center" wrapText="1"/>
    </xf>
    <xf numFmtId="0" fontId="6" fillId="15" borderId="8" xfId="0" applyFont="1" applyFill="1" applyBorder="1" applyAlignment="1">
      <alignment horizontal="left" vertical="center" wrapText="1"/>
    </xf>
    <xf numFmtId="0" fontId="33" fillId="15" borderId="60" xfId="0" applyFont="1" applyFill="1" applyBorder="1" applyAlignment="1">
      <alignment horizontal="center"/>
    </xf>
    <xf numFmtId="0" fontId="33" fillId="15" borderId="1" xfId="0" applyFont="1" applyFill="1" applyBorder="1" applyAlignment="1">
      <alignment horizontal="left" wrapText="1"/>
    </xf>
    <xf numFmtId="0" fontId="33" fillId="15" borderId="61" xfId="0" applyFont="1" applyFill="1" applyBorder="1" applyAlignment="1">
      <alignment horizontal="center"/>
    </xf>
    <xf numFmtId="0" fontId="33" fillId="15" borderId="46" xfId="0" applyFont="1" applyFill="1" applyBorder="1" applyAlignment="1">
      <alignment horizontal="center"/>
    </xf>
    <xf numFmtId="0" fontId="33" fillId="15" borderId="52" xfId="0" applyFont="1" applyFill="1" applyBorder="1" applyAlignment="1">
      <alignment horizontal="center"/>
    </xf>
    <xf numFmtId="167" fontId="33" fillId="15" borderId="1" xfId="27" applyNumberFormat="1" applyFont="1" applyFill="1" applyBorder="1" applyAlignment="1">
      <alignment horizontal="right"/>
    </xf>
    <xf numFmtId="0" fontId="33" fillId="15" borderId="59" xfId="0" applyFont="1" applyFill="1" applyBorder="1" applyAlignment="1">
      <alignment horizontal="center"/>
    </xf>
    <xf numFmtId="0" fontId="33" fillId="15" borderId="67" xfId="0" applyFont="1" applyFill="1" applyBorder="1" applyAlignment="1">
      <alignment horizontal="center"/>
    </xf>
    <xf numFmtId="39" fontId="6" fillId="15" borderId="1" xfId="0" applyNumberFormat="1" applyFont="1" applyFill="1" applyBorder="1" applyAlignment="1">
      <alignment horizontal="right" vertical="center" wrapText="1"/>
    </xf>
    <xf numFmtId="0" fontId="6" fillId="15" borderId="8" xfId="0" applyFont="1" applyFill="1" applyBorder="1" applyAlignment="1">
      <alignment horizontal="left" vertical="center"/>
    </xf>
    <xf numFmtId="0" fontId="6" fillId="15" borderId="8" xfId="0" applyFont="1" applyFill="1" applyBorder="1" applyAlignment="1">
      <alignment horizontal="center" vertical="center"/>
    </xf>
    <xf numFmtId="0" fontId="41" fillId="15" borderId="63" xfId="0" applyNumberFormat="1" applyFont="1" applyFill="1" applyBorder="1" applyAlignment="1">
      <alignment horizontal="center" wrapText="1"/>
    </xf>
    <xf numFmtId="0" fontId="41" fillId="15" borderId="63" xfId="0" applyNumberFormat="1" applyFont="1" applyFill="1" applyBorder="1" applyAlignment="1">
      <alignment wrapText="1"/>
    </xf>
    <xf numFmtId="0" fontId="6" fillId="15" borderId="11" xfId="20" applyFont="1" applyFill="1" applyBorder="1" applyAlignment="1">
      <alignment horizontal="center" vertical="center" wrapText="1"/>
    </xf>
    <xf numFmtId="0" fontId="6" fillId="15" borderId="1" xfId="0" applyFont="1" applyFill="1" applyBorder="1" applyAlignment="1">
      <alignment horizontal="left" vertical="top" wrapText="1"/>
    </xf>
    <xf numFmtId="0" fontId="6" fillId="15" borderId="1" xfId="0" applyFont="1" applyFill="1" applyBorder="1" applyAlignment="1">
      <alignment horizontal="center" vertical="top" wrapText="1"/>
    </xf>
    <xf numFmtId="0" fontId="6" fillId="15" borderId="49" xfId="0" applyFont="1" applyFill="1" applyBorder="1" applyAlignment="1">
      <alignment horizontal="left" vertical="center" wrapText="1"/>
    </xf>
    <xf numFmtId="169" fontId="6" fillId="15" borderId="49" xfId="27" applyNumberFormat="1" applyFont="1" applyFill="1" applyBorder="1" applyAlignment="1">
      <alignment horizontal="right" vertical="center" wrapText="1"/>
    </xf>
    <xf numFmtId="164" fontId="0" fillId="15" borderId="0" xfId="0" applyNumberFormat="1" applyFont="1" applyFill="1">
      <alignment horizontal="left" vertical="center" wrapText="1"/>
    </xf>
    <xf numFmtId="0" fontId="6" fillId="15" borderId="1" xfId="0" applyNumberFormat="1" applyFont="1" applyFill="1" applyBorder="1" applyAlignment="1">
      <alignment horizontal="center" vertical="center" wrapText="1"/>
    </xf>
    <xf numFmtId="169" fontId="6" fillId="15" borderId="1" xfId="27" applyNumberFormat="1" applyFont="1" applyFill="1" applyBorder="1" applyAlignment="1">
      <alignment horizontal="right" vertical="center" wrapText="1"/>
    </xf>
    <xf numFmtId="49" fontId="6" fillId="15" borderId="1" xfId="0" applyNumberFormat="1" applyFont="1" applyFill="1" applyBorder="1" applyAlignment="1">
      <alignment horizontal="center" wrapText="1"/>
    </xf>
    <xf numFmtId="171" fontId="33" fillId="15" borderId="1" xfId="27" applyNumberFormat="1" applyFont="1" applyFill="1" applyBorder="1" applyAlignment="1">
      <alignment horizontal="right" vertical="center"/>
    </xf>
    <xf numFmtId="171" fontId="6" fillId="15" borderId="1" xfId="27" applyNumberFormat="1" applyFont="1" applyFill="1" applyBorder="1" applyAlignment="1">
      <alignment horizontal="right" vertical="center" wrapText="1"/>
    </xf>
    <xf numFmtId="0" fontId="33" fillId="15" borderId="1" xfId="0" applyFont="1" applyFill="1" applyBorder="1" applyAlignment="1">
      <alignment vertical="center"/>
    </xf>
    <xf numFmtId="0" fontId="33" fillId="15" borderId="1" xfId="0" applyFont="1" applyFill="1" applyBorder="1" applyAlignment="1">
      <alignment vertical="center" wrapText="1"/>
    </xf>
    <xf numFmtId="0" fontId="38" fillId="18" borderId="8" xfId="0" applyFont="1" applyFill="1" applyBorder="1" applyAlignment="1">
      <alignment horizontal="center" vertical="center" wrapText="1"/>
    </xf>
    <xf numFmtId="4" fontId="6" fillId="15" borderId="13" xfId="21" applyNumberFormat="1" applyFont="1" applyFill="1" applyBorder="1" applyAlignment="1">
      <alignment horizontal="right" vertical="center" wrapText="1"/>
    </xf>
    <xf numFmtId="2" fontId="0" fillId="15" borderId="0" xfId="0" applyNumberFormat="1" applyFill="1">
      <alignment horizontal="left" vertical="center" wrapText="1"/>
    </xf>
    <xf numFmtId="164" fontId="0" fillId="15" borderId="0" xfId="27" applyFont="1" applyFill="1">
      <alignment horizontal="left" vertical="center" wrapText="1"/>
    </xf>
    <xf numFmtId="0" fontId="6" fillId="15" borderId="14" xfId="0" applyFont="1" applyFill="1" applyBorder="1" applyAlignment="1">
      <alignment horizontal="center" vertical="center" wrapText="1"/>
    </xf>
    <xf numFmtId="167" fontId="6" fillId="15" borderId="14" xfId="27" applyNumberFormat="1" applyFont="1" applyFill="1" applyBorder="1" applyAlignment="1">
      <alignment horizontal="right" vertical="center" wrapText="1"/>
    </xf>
    <xf numFmtId="0" fontId="6" fillId="15" borderId="14" xfId="0" applyFont="1" applyFill="1" applyBorder="1" applyAlignment="1">
      <alignment horizontal="left" vertical="center" wrapText="1"/>
    </xf>
    <xf numFmtId="0" fontId="6" fillId="15" borderId="8" xfId="0" applyFont="1" applyFill="1" applyBorder="1" applyAlignment="1">
      <alignment horizontal="center" vertical="center" wrapText="1"/>
    </xf>
    <xf numFmtId="164" fontId="6" fillId="15" borderId="56" xfId="27" applyNumberFormat="1" applyFont="1" applyFill="1" applyBorder="1" applyAlignment="1">
      <alignment horizontal="right" vertical="center" wrapText="1"/>
    </xf>
    <xf numFmtId="164" fontId="6" fillId="15" borderId="56" xfId="27" applyFont="1" applyFill="1" applyBorder="1" applyAlignment="1">
      <alignment horizontal="right" vertical="center" wrapText="1"/>
    </xf>
    <xf numFmtId="168" fontId="6" fillId="15" borderId="5" xfId="0" applyNumberFormat="1" applyFont="1" applyFill="1" applyBorder="1" applyAlignment="1">
      <alignment horizontal="right" vertical="center" wrapText="1"/>
    </xf>
    <xf numFmtId="0" fontId="6" fillId="15" borderId="5" xfId="0" applyFont="1" applyFill="1" applyBorder="1" applyAlignment="1">
      <alignment horizontal="center" vertical="center"/>
    </xf>
    <xf numFmtId="164" fontId="6" fillId="15" borderId="1" xfId="27" applyFont="1" applyFill="1" applyBorder="1" applyAlignment="1">
      <alignment horizontal="center" vertical="center" wrapText="1"/>
    </xf>
    <xf numFmtId="173" fontId="6" fillId="15" borderId="1" xfId="27" applyNumberFormat="1" applyFont="1" applyFill="1" applyBorder="1" applyAlignment="1">
      <alignment horizontal="center" vertical="center" wrapText="1"/>
    </xf>
    <xf numFmtId="173" fontId="6" fillId="15" borderId="1" xfId="27" applyNumberFormat="1" applyFont="1" applyFill="1" applyBorder="1" applyAlignment="1">
      <alignment horizontal="left" vertical="center" wrapText="1"/>
    </xf>
    <xf numFmtId="0" fontId="0" fillId="15" borderId="43" xfId="0" applyFont="1" applyFill="1" applyBorder="1" applyAlignment="1">
      <alignment vertical="center"/>
    </xf>
    <xf numFmtId="0" fontId="33" fillId="15" borderId="45" xfId="0" applyFont="1" applyFill="1" applyBorder="1" applyAlignment="1">
      <alignment vertical="center" wrapText="1"/>
    </xf>
    <xf numFmtId="0" fontId="33" fillId="15" borderId="45" xfId="0" applyFont="1" applyFill="1" applyBorder="1" applyAlignment="1">
      <alignment horizontal="center" vertical="center" wrapText="1"/>
    </xf>
    <xf numFmtId="0" fontId="33" fillId="15" borderId="46" xfId="0" applyFont="1" applyFill="1" applyBorder="1" applyAlignment="1">
      <alignment horizontal="center" vertical="center" wrapText="1"/>
    </xf>
    <xf numFmtId="0" fontId="33" fillId="15" borderId="52" xfId="0" applyFont="1" applyFill="1" applyBorder="1" applyAlignment="1">
      <alignment horizontal="center" vertical="center" wrapText="1"/>
    </xf>
    <xf numFmtId="169" fontId="33" fillId="15" borderId="45" xfId="27" applyNumberFormat="1" applyFont="1" applyFill="1" applyBorder="1" applyAlignment="1">
      <alignment horizontal="right" vertical="center" wrapText="1"/>
    </xf>
    <xf numFmtId="164" fontId="33" fillId="15" borderId="45" xfId="27" applyNumberFormat="1" applyFont="1" applyFill="1" applyBorder="1" applyAlignment="1">
      <alignment horizontal="center" vertical="center" wrapText="1"/>
    </xf>
    <xf numFmtId="167" fontId="6" fillId="15" borderId="47" xfId="0" applyNumberFormat="1" applyFont="1" applyFill="1" applyBorder="1" applyAlignment="1">
      <alignment horizontal="right" vertical="center" wrapText="1"/>
    </xf>
    <xf numFmtId="169" fontId="6" fillId="15" borderId="1" xfId="27" applyNumberFormat="1" applyFont="1" applyFill="1" applyBorder="1" applyAlignment="1">
      <alignment horizontal="center" vertical="center" wrapText="1"/>
    </xf>
    <xf numFmtId="0" fontId="6" fillId="15" borderId="1" xfId="0" applyFont="1" applyFill="1" applyBorder="1" applyAlignment="1"/>
    <xf numFmtId="0" fontId="10" fillId="15" borderId="1" xfId="0" applyFont="1" applyFill="1" applyBorder="1" applyAlignment="1">
      <alignment horizontal="left" vertical="center"/>
    </xf>
    <xf numFmtId="0" fontId="10" fillId="15" borderId="1" xfId="0" applyFont="1" applyFill="1" applyBorder="1" applyAlignment="1">
      <alignment horizontal="center" vertical="center" wrapText="1"/>
    </xf>
    <xf numFmtId="167" fontId="10" fillId="15" borderId="1" xfId="0" applyNumberFormat="1" applyFont="1" applyFill="1" applyBorder="1" applyAlignment="1">
      <alignment horizontal="right" vertical="center"/>
    </xf>
    <xf numFmtId="0" fontId="10" fillId="15" borderId="1" xfId="0" applyFont="1" applyFill="1" applyBorder="1" applyAlignment="1">
      <alignment horizontal="center" vertical="center"/>
    </xf>
    <xf numFmtId="0" fontId="33" fillId="15" borderId="1" xfId="0" applyFont="1" applyFill="1" applyBorder="1" applyAlignment="1">
      <alignment horizontal="left" vertical="center"/>
    </xf>
    <xf numFmtId="164" fontId="32" fillId="15" borderId="0" xfId="27" applyFont="1" applyFill="1">
      <alignment horizontal="left" vertical="center" wrapText="1"/>
    </xf>
    <xf numFmtId="0" fontId="6" fillId="15" borderId="64" xfId="0" applyFont="1" applyFill="1" applyBorder="1" applyAlignment="1">
      <alignment horizontal="left" vertical="center" wrapText="1"/>
    </xf>
    <xf numFmtId="0" fontId="6" fillId="15" borderId="41" xfId="0" applyFont="1" applyFill="1" applyBorder="1" applyAlignment="1">
      <alignment horizontal="left" vertical="center" wrapText="1"/>
    </xf>
    <xf numFmtId="0" fontId="6" fillId="15" borderId="41" xfId="0" applyFont="1" applyFill="1" applyBorder="1" applyAlignment="1">
      <alignment horizontal="center" vertical="center" wrapText="1"/>
    </xf>
    <xf numFmtId="164" fontId="6" fillId="15" borderId="46" xfId="27" applyFont="1" applyFill="1" applyBorder="1" applyAlignment="1">
      <alignment horizontal="center" vertical="center" wrapText="1"/>
    </xf>
    <xf numFmtId="164" fontId="6" fillId="15" borderId="8" xfId="27" applyFont="1" applyFill="1" applyBorder="1" applyAlignment="1">
      <alignment horizontal="right" vertical="center" wrapText="1"/>
    </xf>
    <xf numFmtId="0" fontId="6" fillId="15" borderId="46" xfId="0" applyFont="1" applyFill="1" applyBorder="1" applyAlignment="1">
      <alignment wrapText="1"/>
    </xf>
    <xf numFmtId="0" fontId="6" fillId="15" borderId="52" xfId="0" applyFont="1" applyFill="1" applyBorder="1" applyAlignment="1">
      <alignment horizontal="center" vertical="center" wrapText="1"/>
    </xf>
    <xf numFmtId="167" fontId="6" fillId="15" borderId="46" xfId="0" applyNumberFormat="1" applyFont="1" applyFill="1" applyBorder="1" applyAlignment="1">
      <alignment wrapText="1"/>
    </xf>
    <xf numFmtId="0" fontId="6" fillId="15" borderId="46" xfId="0" applyFont="1" applyFill="1" applyBorder="1" applyAlignment="1">
      <alignment horizontal="center" wrapText="1"/>
    </xf>
    <xf numFmtId="169" fontId="6" fillId="15" borderId="52" xfId="27" applyNumberFormat="1" applyFont="1" applyFill="1" applyBorder="1" applyAlignment="1">
      <alignment horizontal="right" vertical="center" wrapText="1"/>
    </xf>
    <xf numFmtId="0" fontId="6" fillId="15" borderId="54" xfId="0" applyFont="1" applyFill="1" applyBorder="1" applyAlignment="1">
      <alignment horizontal="left" vertical="center" wrapText="1"/>
    </xf>
    <xf numFmtId="0" fontId="6" fillId="15" borderId="51" xfId="0" applyFont="1" applyFill="1" applyBorder="1" applyAlignment="1">
      <alignment horizontal="left" vertical="center" wrapText="1"/>
    </xf>
    <xf numFmtId="169" fontId="6" fillId="15" borderId="54" xfId="27" applyNumberFormat="1" applyFont="1" applyFill="1" applyBorder="1" applyAlignment="1">
      <alignment horizontal="right" vertical="center" wrapText="1"/>
    </xf>
    <xf numFmtId="0" fontId="6" fillId="15" borderId="54" xfId="0" applyFont="1" applyFill="1" applyBorder="1" applyAlignment="1">
      <alignment horizontal="center" vertical="center" wrapText="1"/>
    </xf>
    <xf numFmtId="0" fontId="6" fillId="15" borderId="52" xfId="0" applyFont="1" applyFill="1" applyBorder="1" applyAlignment="1">
      <alignment horizontal="left" vertical="center" wrapText="1"/>
    </xf>
    <xf numFmtId="0" fontId="6" fillId="15" borderId="53" xfId="0" applyFont="1" applyFill="1" applyBorder="1" applyAlignment="1">
      <alignment horizontal="center" vertical="center" wrapText="1"/>
    </xf>
    <xf numFmtId="164" fontId="6" fillId="15" borderId="46" xfId="27" applyFont="1" applyFill="1" applyBorder="1" applyAlignment="1">
      <alignment horizontal="right" vertical="center" wrapText="1"/>
    </xf>
    <xf numFmtId="169" fontId="33" fillId="15" borderId="1" xfId="27" applyNumberFormat="1" applyFont="1" applyFill="1" applyBorder="1" applyAlignment="1">
      <alignment horizontal="right" vertical="center" wrapText="1"/>
    </xf>
    <xf numFmtId="164" fontId="33" fillId="15" borderId="6" xfId="27" applyNumberFormat="1" applyFont="1" applyFill="1" applyBorder="1" applyAlignment="1">
      <alignment horizontal="right" vertical="center" wrapText="1"/>
    </xf>
    <xf numFmtId="0" fontId="33" fillId="15" borderId="1" xfId="0" applyFont="1" applyFill="1" applyBorder="1" applyAlignment="1">
      <alignment horizontal="left" vertical="center" wrapText="1"/>
    </xf>
    <xf numFmtId="0" fontId="32" fillId="15" borderId="1" xfId="0" applyFont="1" applyFill="1" applyBorder="1" applyAlignment="1">
      <alignment horizontal="center" vertical="center" wrapText="1"/>
    </xf>
    <xf numFmtId="169" fontId="32" fillId="15" borderId="1" xfId="27" applyNumberFormat="1" applyFont="1" applyFill="1" applyBorder="1" applyAlignment="1">
      <alignment horizontal="right" vertical="center" wrapText="1"/>
    </xf>
    <xf numFmtId="0" fontId="33" fillId="15" borderId="65" xfId="0" applyFont="1" applyFill="1" applyBorder="1" applyAlignment="1">
      <alignment horizontal="center"/>
    </xf>
    <xf numFmtId="167" fontId="32" fillId="15" borderId="1" xfId="27" applyNumberFormat="1" applyFont="1" applyFill="1" applyBorder="1" applyAlignment="1" applyProtection="1">
      <alignment horizontal="right"/>
    </xf>
    <xf numFmtId="167" fontId="33" fillId="15" borderId="35" xfId="27" applyNumberFormat="1" applyFont="1" applyFill="1" applyBorder="1" applyAlignment="1">
      <alignment horizontal="right"/>
    </xf>
    <xf numFmtId="0" fontId="6" fillId="15" borderId="10" xfId="20" applyFont="1" applyFill="1" applyBorder="1" applyAlignment="1">
      <alignment horizontal="center" vertical="center" wrapText="1"/>
    </xf>
    <xf numFmtId="1" fontId="6" fillId="15" borderId="11" xfId="19" applyNumberFormat="1" applyFont="1" applyFill="1" applyBorder="1" applyAlignment="1">
      <alignment horizontal="center" vertical="center" wrapText="1"/>
    </xf>
    <xf numFmtId="1" fontId="6" fillId="15" borderId="5" xfId="19" applyNumberFormat="1" applyFont="1" applyFill="1" applyBorder="1" applyAlignment="1">
      <alignment horizontal="center" vertical="center" wrapText="1"/>
    </xf>
    <xf numFmtId="0" fontId="6" fillId="15" borderId="0" xfId="0" applyFont="1" applyFill="1" applyBorder="1" applyAlignment="1">
      <alignment horizontal="left" vertical="top" wrapText="1"/>
    </xf>
    <xf numFmtId="0" fontId="33" fillId="15" borderId="0" xfId="0" applyFont="1" applyFill="1" applyAlignment="1">
      <alignment horizontal="center" vertical="center"/>
    </xf>
    <xf numFmtId="167" fontId="33" fillId="15" borderId="5" xfId="19" applyNumberFormat="1" applyFont="1" applyFill="1" applyBorder="1"/>
    <xf numFmtId="167" fontId="6" fillId="15" borderId="49" xfId="0" applyNumberFormat="1" applyFont="1" applyFill="1" applyBorder="1" applyAlignment="1">
      <alignment horizontal="right" vertical="center" wrapText="1"/>
    </xf>
    <xf numFmtId="167" fontId="33" fillId="15" borderId="5" xfId="19" applyNumberFormat="1" applyFont="1" applyFill="1" applyBorder="1" applyAlignment="1">
      <alignment horizontal="right"/>
    </xf>
    <xf numFmtId="4" fontId="6" fillId="15" borderId="5" xfId="21" applyNumberFormat="1" applyFont="1" applyFill="1" applyBorder="1" applyAlignment="1">
      <alignment horizontal="right" vertical="center" wrapText="1"/>
    </xf>
    <xf numFmtId="2" fontId="0" fillId="15" borderId="0" xfId="0" applyNumberFormat="1" applyFont="1" applyFill="1">
      <alignment horizontal="left" vertical="center" wrapText="1"/>
    </xf>
    <xf numFmtId="167" fontId="6" fillId="15" borderId="6" xfId="0" applyNumberFormat="1" applyFont="1" applyFill="1" applyBorder="1" applyAlignment="1">
      <alignment horizontal="right" vertical="center" wrapText="1"/>
    </xf>
    <xf numFmtId="167" fontId="6" fillId="15" borderId="46" xfId="27" applyNumberFormat="1" applyFont="1" applyFill="1" applyBorder="1" applyAlignment="1">
      <alignment horizontal="right" vertical="center" wrapText="1"/>
    </xf>
    <xf numFmtId="167" fontId="6" fillId="15" borderId="50" xfId="27" applyNumberFormat="1" applyFont="1" applyFill="1" applyBorder="1" applyAlignment="1">
      <alignment horizontal="right" vertical="center" wrapText="1"/>
    </xf>
    <xf numFmtId="167" fontId="6" fillId="15" borderId="49" xfId="27" applyNumberFormat="1" applyFont="1" applyFill="1" applyBorder="1" applyAlignment="1">
      <alignment horizontal="right" vertical="center" wrapText="1"/>
    </xf>
    <xf numFmtId="167" fontId="6" fillId="15" borderId="8" xfId="27" applyNumberFormat="1" applyFont="1" applyFill="1" applyBorder="1" applyAlignment="1">
      <alignment horizontal="right" vertical="center" wrapText="1"/>
    </xf>
    <xf numFmtId="169" fontId="6" fillId="15" borderId="10" xfId="27" applyNumberFormat="1" applyFont="1" applyFill="1" applyBorder="1" applyAlignment="1">
      <alignment horizontal="right" vertical="center" wrapText="1"/>
    </xf>
    <xf numFmtId="4" fontId="32" fillId="15" borderId="5" xfId="0" applyNumberFormat="1" applyFont="1" applyFill="1" applyBorder="1" applyAlignment="1">
      <alignment horizontal="right" vertical="center"/>
    </xf>
    <xf numFmtId="164" fontId="6" fillId="15" borderId="12" xfId="27" applyFont="1" applyFill="1" applyBorder="1" applyAlignment="1">
      <alignment horizontal="right" vertical="center" wrapText="1"/>
    </xf>
    <xf numFmtId="4" fontId="33" fillId="15" borderId="49" xfId="27" applyNumberFormat="1" applyFont="1" applyFill="1" applyBorder="1" applyAlignment="1">
      <alignment horizontal="right" vertical="center" wrapText="1"/>
    </xf>
    <xf numFmtId="164" fontId="6" fillId="15" borderId="1" xfId="27" applyNumberFormat="1" applyFont="1" applyFill="1" applyBorder="1" applyAlignment="1">
      <alignment horizontal="right" vertical="center" wrapText="1"/>
    </xf>
    <xf numFmtId="4" fontId="33" fillId="15" borderId="56" xfId="27" applyNumberFormat="1" applyFont="1" applyFill="1" applyBorder="1" applyAlignment="1">
      <alignment horizontal="right" vertical="center" wrapText="1"/>
    </xf>
    <xf numFmtId="164" fontId="6" fillId="15" borderId="6" xfId="27" applyFont="1" applyFill="1" applyBorder="1" applyAlignment="1">
      <alignment horizontal="left" vertical="center" wrapText="1"/>
    </xf>
    <xf numFmtId="164" fontId="6" fillId="15" borderId="5" xfId="27" applyFont="1" applyFill="1" applyBorder="1" applyAlignment="1">
      <alignment horizontal="center" vertical="center" wrapText="1"/>
    </xf>
    <xf numFmtId="1" fontId="6" fillId="15" borderId="44" xfId="27" applyNumberFormat="1" applyFont="1" applyFill="1" applyBorder="1" applyAlignment="1">
      <alignment horizontal="center" vertical="center" wrapText="1"/>
    </xf>
    <xf numFmtId="169" fontId="6" fillId="15" borderId="45" xfId="27" applyNumberFormat="1" applyFont="1" applyFill="1" applyBorder="1" applyAlignment="1">
      <alignment horizontal="right" vertical="center" wrapText="1"/>
    </xf>
    <xf numFmtId="167" fontId="6" fillId="15" borderId="45" xfId="27" applyNumberFormat="1" applyFont="1" applyFill="1" applyBorder="1" applyAlignment="1">
      <alignment horizontal="right" vertical="center" wrapText="1"/>
    </xf>
    <xf numFmtId="0" fontId="6" fillId="15" borderId="1" xfId="0" applyFont="1" applyFill="1" applyBorder="1" applyAlignment="1">
      <alignment horizontal="right" vertical="center" wrapText="1"/>
    </xf>
    <xf numFmtId="4" fontId="33" fillId="15" borderId="49" xfId="0" applyNumberFormat="1" applyFont="1" applyFill="1" applyBorder="1" applyAlignment="1">
      <alignment horizontal="left"/>
    </xf>
    <xf numFmtId="0" fontId="33" fillId="15" borderId="49" xfId="0" applyFont="1" applyFill="1" applyBorder="1" applyAlignment="1">
      <alignment horizontal="center"/>
    </xf>
    <xf numFmtId="4" fontId="6" fillId="15" borderId="5" xfId="0" applyNumberFormat="1" applyFont="1" applyFill="1" applyBorder="1" applyAlignment="1">
      <alignment vertical="center" wrapText="1"/>
    </xf>
    <xf numFmtId="4" fontId="6" fillId="15" borderId="5" xfId="0" applyNumberFormat="1" applyFont="1" applyFill="1" applyBorder="1" applyAlignment="1">
      <alignment horizontal="right" vertical="center" wrapText="1"/>
    </xf>
    <xf numFmtId="164" fontId="6" fillId="15" borderId="52" xfId="27" applyFont="1" applyFill="1" applyBorder="1" applyAlignment="1">
      <alignment horizontal="center" vertical="center" wrapText="1"/>
    </xf>
    <xf numFmtId="0" fontId="6" fillId="15" borderId="51" xfId="0" applyFont="1" applyFill="1" applyBorder="1" applyAlignment="1">
      <alignment horizontal="center" vertical="center" wrapText="1"/>
    </xf>
    <xf numFmtId="0" fontId="33" fillId="15" borderId="6" xfId="0" applyFont="1" applyFill="1" applyBorder="1" applyAlignment="1">
      <alignment horizontal="center" vertical="center" wrapText="1"/>
    </xf>
    <xf numFmtId="167" fontId="32" fillId="15" borderId="1" xfId="27" applyNumberFormat="1" applyFont="1" applyFill="1" applyBorder="1" applyAlignment="1">
      <alignment horizontal="right" vertical="center"/>
    </xf>
    <xf numFmtId="169" fontId="33" fillId="15" borderId="6" xfId="27" applyNumberFormat="1" applyFont="1" applyFill="1" applyBorder="1" applyAlignment="1">
      <alignment horizontal="right" vertical="center" wrapText="1"/>
    </xf>
    <xf numFmtId="164" fontId="33" fillId="15" borderId="49" xfId="27" applyNumberFormat="1" applyFont="1" applyFill="1" applyBorder="1" applyAlignment="1">
      <alignment horizontal="right" vertical="center" wrapText="1"/>
    </xf>
    <xf numFmtId="0" fontId="6" fillId="15" borderId="49" xfId="0" applyFont="1" applyFill="1" applyBorder="1" applyAlignment="1">
      <alignment horizontal="left" vertical="center"/>
    </xf>
    <xf numFmtId="170" fontId="6" fillId="15" borderId="49" xfId="0" applyNumberFormat="1" applyFont="1" applyFill="1" applyBorder="1" applyAlignment="1">
      <alignment horizontal="right" vertical="center"/>
    </xf>
    <xf numFmtId="167" fontId="33" fillId="15" borderId="52" xfId="0" applyNumberFormat="1" applyFont="1" applyFill="1" applyBorder="1" applyAlignment="1">
      <alignment horizontal="right" vertical="center" wrapText="1"/>
    </xf>
    <xf numFmtId="4" fontId="6" fillId="15" borderId="52" xfId="0" applyNumberFormat="1" applyFont="1" applyFill="1" applyBorder="1" applyAlignment="1">
      <alignment horizontal="right" vertical="center" wrapText="1"/>
    </xf>
    <xf numFmtId="4" fontId="6" fillId="15" borderId="52" xfId="21" applyNumberFormat="1" applyFont="1" applyFill="1" applyBorder="1" applyAlignment="1">
      <alignment horizontal="right" vertical="center" wrapText="1"/>
    </xf>
    <xf numFmtId="167" fontId="6" fillId="15" borderId="52" xfId="30" applyNumberFormat="1" applyFont="1" applyFill="1" applyBorder="1" applyAlignment="1">
      <alignment horizontal="right" vertical="center" wrapText="1"/>
    </xf>
    <xf numFmtId="0" fontId="6" fillId="15" borderId="54" xfId="0" applyFont="1" applyFill="1" applyBorder="1" applyAlignment="1">
      <alignment horizontal="left" vertical="center"/>
    </xf>
    <xf numFmtId="0" fontId="6" fillId="15" borderId="1" xfId="0" applyFont="1" applyFill="1" applyBorder="1" applyAlignment="1">
      <alignment vertical="center"/>
    </xf>
    <xf numFmtId="167" fontId="6" fillId="15" borderId="52" xfId="0" applyNumberFormat="1" applyFont="1" applyFill="1" applyBorder="1" applyAlignment="1">
      <alignment horizontal="right" vertical="center"/>
    </xf>
    <xf numFmtId="164" fontId="6" fillId="15" borderId="52" xfId="27" applyNumberFormat="1" applyFont="1" applyFill="1" applyBorder="1" applyAlignment="1">
      <alignment horizontal="right" vertical="center" wrapText="1"/>
    </xf>
    <xf numFmtId="167" fontId="6" fillId="15" borderId="54" xfId="0" applyNumberFormat="1" applyFont="1" applyFill="1" applyBorder="1" applyAlignment="1">
      <alignment horizontal="right" vertical="center" wrapText="1"/>
    </xf>
    <xf numFmtId="164" fontId="6" fillId="15" borderId="54" xfId="27" applyNumberFormat="1" applyFont="1" applyFill="1" applyBorder="1" applyAlignment="1">
      <alignment horizontal="right" vertical="center" wrapText="1"/>
    </xf>
    <xf numFmtId="164" fontId="6" fillId="15" borderId="52" xfId="27" applyFont="1" applyFill="1" applyBorder="1" applyAlignment="1">
      <alignment horizontal="right" vertical="center" wrapText="1"/>
    </xf>
    <xf numFmtId="166" fontId="6" fillId="15" borderId="49" xfId="27" applyNumberFormat="1" applyFont="1" applyFill="1" applyBorder="1" applyAlignment="1">
      <alignment horizontal="right" vertical="center" wrapText="1"/>
    </xf>
    <xf numFmtId="164" fontId="6" fillId="15" borderId="62" xfId="27" applyNumberFormat="1" applyFont="1" applyFill="1" applyBorder="1" applyAlignment="1">
      <alignment horizontal="right" vertical="center" wrapText="1"/>
    </xf>
    <xf numFmtId="0" fontId="8" fillId="15" borderId="0" xfId="0" applyFont="1" applyFill="1" applyAlignment="1">
      <alignment vertical="top" wrapText="1"/>
    </xf>
    <xf numFmtId="1" fontId="6" fillId="15" borderId="1" xfId="0" applyNumberFormat="1" applyFont="1" applyFill="1" applyBorder="1" applyAlignment="1">
      <alignment horizontal="center"/>
    </xf>
    <xf numFmtId="3" fontId="6" fillId="15" borderId="1" xfId="0" applyNumberFormat="1" applyFont="1" applyFill="1" applyBorder="1" applyAlignment="1">
      <alignment horizontal="center"/>
    </xf>
    <xf numFmtId="4" fontId="6" fillId="15" borderId="1" xfId="0" applyNumberFormat="1" applyFont="1" applyFill="1" applyBorder="1" applyAlignment="1">
      <alignment horizontal="left"/>
    </xf>
    <xf numFmtId="4" fontId="6" fillId="15" borderId="49" xfId="21" applyNumberFormat="1" applyFont="1" applyFill="1" applyBorder="1" applyAlignment="1">
      <alignment horizontal="right" vertical="center" wrapText="1"/>
    </xf>
    <xf numFmtId="0" fontId="6" fillId="15" borderId="1" xfId="21" applyFont="1" applyFill="1" applyBorder="1" applyAlignment="1">
      <alignment horizontal="left" vertical="center" wrapText="1"/>
    </xf>
    <xf numFmtId="0" fontId="33" fillId="15" borderId="1" xfId="0" applyFont="1" applyFill="1" applyBorder="1" applyAlignment="1">
      <alignment wrapText="1"/>
    </xf>
    <xf numFmtId="49" fontId="6" fillId="15" borderId="1" xfId="27" applyNumberFormat="1" applyFont="1" applyFill="1" applyBorder="1" applyAlignment="1">
      <alignment horizontal="left" vertical="center" wrapText="1"/>
    </xf>
    <xf numFmtId="0" fontId="6" fillId="15" borderId="0" xfId="0" applyFont="1" applyFill="1" applyBorder="1" applyAlignment="1">
      <alignment horizontal="center" vertical="center" textRotation="90" wrapText="1"/>
    </xf>
    <xf numFmtId="0" fontId="6" fillId="15" borderId="0" xfId="27" applyNumberFormat="1" applyFont="1" applyFill="1" applyBorder="1" applyAlignment="1">
      <alignment horizontal="center" vertical="center" wrapText="1"/>
    </xf>
    <xf numFmtId="0" fontId="0" fillId="15" borderId="0" xfId="0" applyFill="1" applyBorder="1">
      <alignment horizontal="left" vertical="center" wrapText="1"/>
    </xf>
    <xf numFmtId="164" fontId="6" fillId="15" borderId="66" xfId="27" applyNumberFormat="1" applyFont="1" applyFill="1" applyBorder="1" applyAlignment="1">
      <alignment horizontal="right" vertical="center" wrapText="1"/>
    </xf>
    <xf numFmtId="164" fontId="6" fillId="15" borderId="49" xfId="27" applyNumberFormat="1" applyFont="1" applyFill="1" applyBorder="1" applyAlignment="1">
      <alignment horizontal="center" vertical="center" wrapText="1"/>
    </xf>
    <xf numFmtId="0" fontId="0" fillId="15" borderId="1" xfId="0" applyFill="1" applyBorder="1">
      <alignment horizontal="left" vertical="center" wrapText="1"/>
    </xf>
    <xf numFmtId="1" fontId="6" fillId="15" borderId="1" xfId="0" applyNumberFormat="1" applyFont="1" applyFill="1" applyBorder="1" applyAlignment="1">
      <alignment horizontal="center" vertical="center" wrapText="1"/>
    </xf>
    <xf numFmtId="0" fontId="0" fillId="15" borderId="1" xfId="0" applyFill="1" applyBorder="1" applyAlignment="1">
      <alignment horizontal="center" vertical="center" wrapText="1"/>
    </xf>
    <xf numFmtId="164" fontId="0" fillId="15" borderId="0" xfId="0" applyNumberFormat="1" applyFill="1">
      <alignment horizontal="left" vertical="center" wrapText="1"/>
    </xf>
    <xf numFmtId="164" fontId="7" fillId="15" borderId="8" xfId="27" applyFont="1" applyFill="1" applyBorder="1" applyAlignment="1">
      <alignment horizontal="right" vertical="center" wrapText="1"/>
    </xf>
    <xf numFmtId="167" fontId="7" fillId="15" borderId="8" xfId="27" applyNumberFormat="1" applyFont="1" applyFill="1" applyBorder="1" applyAlignment="1">
      <alignment horizontal="right" vertical="center" wrapText="1"/>
    </xf>
    <xf numFmtId="174" fontId="6" fillId="15" borderId="41" xfId="0" applyNumberFormat="1" applyFont="1" applyFill="1" applyBorder="1" applyAlignment="1">
      <alignment horizontal="right" vertical="center" wrapText="1"/>
    </xf>
    <xf numFmtId="174" fontId="7" fillId="15" borderId="5" xfId="27" applyNumberFormat="1" applyFont="1" applyFill="1" applyBorder="1" applyAlignment="1">
      <alignment horizontal="right" vertical="center" wrapText="1"/>
    </xf>
    <xf numFmtId="167" fontId="41" fillId="15" borderId="63" xfId="0" applyNumberFormat="1" applyFont="1" applyFill="1" applyBorder="1" applyAlignment="1">
      <alignment wrapText="1"/>
    </xf>
    <xf numFmtId="167" fontId="6" fillId="15" borderId="0" xfId="27" applyNumberFormat="1" applyFont="1" applyFill="1" applyBorder="1" applyAlignment="1">
      <alignment horizontal="right" vertical="center" wrapText="1"/>
    </xf>
    <xf numFmtId="167" fontId="6" fillId="15" borderId="13" xfId="27" applyNumberFormat="1" applyFont="1" applyFill="1" applyBorder="1" applyAlignment="1">
      <alignment horizontal="right" vertical="center" wrapText="1"/>
    </xf>
    <xf numFmtId="169" fontId="6" fillId="15" borderId="66" xfId="27" applyNumberFormat="1" applyFont="1" applyFill="1" applyBorder="1" applyAlignment="1">
      <alignment horizontal="right" vertical="center" wrapText="1"/>
    </xf>
    <xf numFmtId="169" fontId="6" fillId="15" borderId="6" xfId="27" applyNumberFormat="1" applyFont="1" applyFill="1" applyBorder="1" applyAlignment="1">
      <alignment horizontal="right" vertical="center" wrapText="1"/>
    </xf>
    <xf numFmtId="164" fontId="6" fillId="15" borderId="66" xfId="27" applyNumberFormat="1" applyFont="1" applyFill="1" applyBorder="1" applyAlignment="1">
      <alignment horizontal="center" vertical="center" wrapText="1"/>
    </xf>
    <xf numFmtId="164" fontId="6" fillId="15" borderId="66" xfId="27" applyFont="1" applyFill="1" applyBorder="1" applyAlignment="1">
      <alignment horizontal="right" vertical="center" wrapText="1"/>
    </xf>
    <xf numFmtId="164" fontId="6" fillId="15" borderId="6" xfId="27" applyNumberFormat="1" applyFont="1" applyFill="1" applyBorder="1" applyAlignment="1">
      <alignment horizontal="right" vertical="center" wrapText="1"/>
    </xf>
    <xf numFmtId="4" fontId="32" fillId="15" borderId="49" xfId="0" applyNumberFormat="1" applyFont="1" applyFill="1" applyBorder="1" applyAlignment="1">
      <alignment horizontal="right" vertical="center"/>
    </xf>
    <xf numFmtId="0" fontId="6" fillId="15" borderId="66" xfId="0" applyFont="1" applyFill="1" applyBorder="1" applyAlignment="1">
      <alignment horizontal="left" vertical="center" wrapText="1"/>
    </xf>
    <xf numFmtId="0" fontId="6" fillId="15" borderId="49" xfId="0" applyFont="1" applyFill="1" applyBorder="1" applyAlignment="1">
      <alignment horizontal="center" vertical="center"/>
    </xf>
    <xf numFmtId="0" fontId="11" fillId="15" borderId="0" xfId="0" applyFont="1" applyFill="1" applyAlignment="1">
      <alignment horizontal="center" vertical="center" wrapText="1"/>
    </xf>
    <xf numFmtId="0" fontId="12" fillId="15" borderId="0" xfId="0" applyFont="1" applyFill="1" applyAlignment="1">
      <alignment horizontal="center" vertical="center" wrapText="1"/>
    </xf>
    <xf numFmtId="0" fontId="6" fillId="15" borderId="4" xfId="0" applyFont="1" applyFill="1" applyBorder="1" applyAlignment="1">
      <alignment horizontal="center" vertical="center" wrapText="1"/>
    </xf>
    <xf numFmtId="0" fontId="6" fillId="15" borderId="0" xfId="0" applyFont="1" applyFill="1" applyAlignment="1">
      <alignment horizontal="center" vertical="center" wrapText="1"/>
    </xf>
    <xf numFmtId="0" fontId="6" fillId="15" borderId="1" xfId="0" applyFont="1" applyFill="1" applyBorder="1" applyAlignment="1">
      <alignment horizontal="center" vertical="center" wrapText="1"/>
    </xf>
    <xf numFmtId="0" fontId="6" fillId="15" borderId="0" xfId="0" applyFont="1" applyFill="1" applyAlignment="1">
      <alignment horizontal="left" vertical="center" wrapText="1"/>
    </xf>
    <xf numFmtId="0" fontId="6" fillId="15" borderId="69" xfId="0" applyFont="1" applyFill="1" applyBorder="1" applyAlignment="1">
      <alignment horizontal="center" vertical="center" wrapText="1"/>
    </xf>
    <xf numFmtId="0" fontId="6" fillId="15" borderId="62" xfId="0" applyFont="1" applyFill="1" applyBorder="1" applyAlignment="1">
      <alignment horizontal="center" vertical="center" wrapText="1"/>
    </xf>
    <xf numFmtId="0" fontId="6" fillId="15" borderId="66" xfId="0" applyFont="1" applyFill="1" applyBorder="1" applyAlignment="1">
      <alignment horizontal="center" vertical="center" wrapText="1"/>
    </xf>
    <xf numFmtId="0" fontId="6" fillId="15" borderId="56" xfId="0" applyFont="1" applyFill="1" applyBorder="1" applyAlignment="1">
      <alignment horizontal="center" vertical="center" wrapText="1"/>
    </xf>
    <xf numFmtId="169" fontId="6" fillId="15" borderId="1" xfId="0" applyNumberFormat="1" applyFont="1" applyFill="1" applyBorder="1" applyAlignment="1">
      <alignment horizontal="right" vertical="center" wrapText="1"/>
    </xf>
    <xf numFmtId="0" fontId="0" fillId="15" borderId="1" xfId="0" applyFont="1" applyFill="1" applyBorder="1" applyAlignment="1">
      <alignment horizontal="center" vertical="center" wrapText="1"/>
    </xf>
    <xf numFmtId="167" fontId="6" fillId="15" borderId="1" xfId="0" applyNumberFormat="1" applyFont="1" applyFill="1" applyBorder="1" applyAlignment="1">
      <alignment horizontal="right" wrapText="1"/>
    </xf>
    <xf numFmtId="4" fontId="6" fillId="15" borderId="1" xfId="0" applyNumberFormat="1" applyFont="1" applyFill="1" applyBorder="1" applyAlignment="1"/>
    <xf numFmtId="0" fontId="6" fillId="15" borderId="1" xfId="0" applyFont="1" applyFill="1" applyBorder="1" applyAlignment="1">
      <alignment vertical="center" wrapText="1"/>
    </xf>
    <xf numFmtId="4" fontId="6" fillId="15" borderId="1" xfId="0" applyNumberFormat="1" applyFont="1" applyFill="1" applyBorder="1" applyAlignment="1">
      <alignment vertical="center"/>
    </xf>
    <xf numFmtId="164" fontId="6" fillId="15" borderId="1" xfId="28" applyNumberFormat="1" applyFont="1" applyFill="1" applyBorder="1" applyAlignment="1">
      <alignment horizontal="right" vertical="center" wrapText="1"/>
    </xf>
    <xf numFmtId="166" fontId="6" fillId="15" borderId="1" xfId="27" applyNumberFormat="1" applyFont="1" applyFill="1" applyBorder="1" applyAlignment="1">
      <alignment horizontal="right" vertical="center" wrapText="1"/>
    </xf>
    <xf numFmtId="0" fontId="6" fillId="15" borderId="1" xfId="20" applyFont="1" applyFill="1" applyBorder="1" applyAlignment="1">
      <alignment horizontal="left" vertical="center" wrapText="1"/>
    </xf>
    <xf numFmtId="1" fontId="6" fillId="15" borderId="1" xfId="20" applyNumberFormat="1" applyFont="1" applyFill="1" applyBorder="1" applyAlignment="1">
      <alignment horizontal="center" vertical="center" wrapText="1"/>
    </xf>
    <xf numFmtId="167" fontId="6" fillId="15" borderId="1" xfId="20" applyNumberFormat="1" applyFont="1" applyFill="1" applyBorder="1" applyAlignment="1">
      <alignment horizontal="right" vertical="center" wrapText="1"/>
    </xf>
    <xf numFmtId="4" fontId="6" fillId="15" borderId="1" xfId="0" applyNumberFormat="1" applyFont="1" applyFill="1" applyBorder="1" applyAlignment="1">
      <alignment horizontal="right" vertical="center"/>
    </xf>
    <xf numFmtId="4" fontId="6" fillId="15" borderId="1" xfId="27" applyNumberFormat="1" applyFont="1" applyFill="1" applyBorder="1" applyAlignment="1">
      <alignment vertical="center"/>
    </xf>
    <xf numFmtId="0" fontId="6" fillId="15" borderId="1" xfId="0" applyFont="1" applyFill="1" applyBorder="1" applyAlignment="1">
      <alignment horizontal="right" vertical="center"/>
    </xf>
    <xf numFmtId="1" fontId="6" fillId="15" borderId="1" xfId="19" applyNumberFormat="1" applyFont="1" applyFill="1" applyBorder="1" applyAlignment="1">
      <alignment horizontal="center" vertical="center" wrapText="1"/>
    </xf>
    <xf numFmtId="164" fontId="6" fillId="15" borderId="1" xfId="20" applyNumberFormat="1" applyFont="1" applyFill="1" applyBorder="1" applyAlignment="1">
      <alignment horizontal="right" vertical="center" wrapText="1"/>
    </xf>
    <xf numFmtId="164" fontId="7" fillId="15" borderId="1" xfId="27" applyNumberFormat="1" applyFont="1" applyFill="1" applyBorder="1" applyAlignment="1">
      <alignment horizontal="center" vertical="center" wrapText="1"/>
    </xf>
    <xf numFmtId="164" fontId="6" fillId="15" borderId="1" xfId="0" applyNumberFormat="1" applyFont="1" applyFill="1" applyBorder="1" applyAlignment="1">
      <alignment horizontal="right" vertical="center" wrapText="1"/>
    </xf>
    <xf numFmtId="1" fontId="33" fillId="15" borderId="1" xfId="0" applyNumberFormat="1" applyFont="1" applyFill="1" applyBorder="1" applyAlignment="1">
      <alignment horizontal="center" vertical="center" wrapText="1"/>
    </xf>
    <xf numFmtId="168" fontId="6" fillId="15" borderId="1" xfId="0" applyNumberFormat="1" applyFont="1" applyFill="1" applyBorder="1" applyAlignment="1">
      <alignment horizontal="right" vertical="center" wrapText="1"/>
    </xf>
    <xf numFmtId="49" fontId="6" fillId="15" borderId="5" xfId="27" applyNumberFormat="1" applyFont="1" applyFill="1" applyBorder="1" applyAlignment="1">
      <alignment horizontal="left" vertical="center" wrapText="1"/>
    </xf>
    <xf numFmtId="164" fontId="0" fillId="15" borderId="0" xfId="0" applyNumberFormat="1" applyFill="1" applyAlignment="1">
      <alignment horizontal="left" vertical="center" wrapText="1"/>
    </xf>
    <xf numFmtId="0" fontId="6" fillId="15" borderId="65" xfId="0" applyFont="1" applyFill="1" applyBorder="1" applyAlignment="1">
      <alignment horizontal="center" vertical="top" wrapText="1"/>
    </xf>
    <xf numFmtId="4" fontId="6" fillId="15" borderId="1" xfId="27" applyNumberFormat="1" applyFont="1" applyFill="1" applyBorder="1" applyAlignment="1">
      <alignment horizontal="right"/>
    </xf>
    <xf numFmtId="4" fontId="33" fillId="15" borderId="1" xfId="0" applyNumberFormat="1" applyFont="1" applyFill="1" applyBorder="1" applyAlignment="1"/>
    <xf numFmtId="0" fontId="6" fillId="15" borderId="11" xfId="0" applyFont="1" applyFill="1" applyBorder="1" applyAlignment="1">
      <alignment horizontal="center" vertical="center" wrapText="1"/>
    </xf>
    <xf numFmtId="0" fontId="7" fillId="15" borderId="2" xfId="0" applyFont="1" applyFill="1" applyBorder="1" applyAlignment="1">
      <alignment horizontal="center" vertical="center" wrapText="1"/>
    </xf>
    <xf numFmtId="0" fontId="7" fillId="15" borderId="68" xfId="0" applyFont="1" applyFill="1" applyBorder="1" applyAlignment="1">
      <alignment horizontal="center" vertical="center" wrapText="1"/>
    </xf>
    <xf numFmtId="0" fontId="7" fillId="15" borderId="58" xfId="0" applyFont="1" applyFill="1" applyBorder="1" applyAlignment="1">
      <alignment horizontal="center" vertical="center" wrapText="1"/>
    </xf>
    <xf numFmtId="0" fontId="6" fillId="15" borderId="0" xfId="0" applyFont="1" applyFill="1" applyBorder="1" applyAlignment="1">
      <alignment horizontal="left" vertical="center" wrapText="1"/>
    </xf>
    <xf numFmtId="0" fontId="6" fillId="15" borderId="0" xfId="0" applyFont="1" applyFill="1" applyAlignment="1">
      <alignment horizontal="left" vertical="center"/>
    </xf>
    <xf numFmtId="0" fontId="6" fillId="15" borderId="66" xfId="0" applyNumberFormat="1" applyFont="1" applyFill="1" applyBorder="1" applyAlignment="1">
      <alignment horizontal="center" vertical="center" wrapText="1"/>
    </xf>
    <xf numFmtId="0" fontId="6" fillId="15" borderId="5" xfId="0" applyFont="1" applyFill="1" applyBorder="1" applyAlignment="1">
      <alignment horizontal="left" vertical="top" wrapText="1"/>
    </xf>
    <xf numFmtId="0" fontId="33" fillId="15" borderId="6" xfId="0" applyFont="1" applyFill="1" applyBorder="1" applyAlignment="1">
      <alignment horizontal="left" vertical="center" wrapText="1"/>
    </xf>
    <xf numFmtId="0" fontId="44" fillId="15" borderId="0" xfId="0" applyFont="1" applyFill="1" applyAlignment="1">
      <alignment horizontal="left" vertical="center" wrapText="1"/>
    </xf>
    <xf numFmtId="0" fontId="6" fillId="15" borderId="0" xfId="0" applyFont="1" applyFill="1" applyBorder="1" applyAlignment="1">
      <alignment horizontal="left" vertical="center" wrapText="1"/>
    </xf>
    <xf numFmtId="0" fontId="6" fillId="15" borderId="0" xfId="0" applyFont="1" applyFill="1" applyAlignment="1">
      <alignment horizontal="center" vertical="center" wrapText="1"/>
    </xf>
    <xf numFmtId="0" fontId="7" fillId="15" borderId="11" xfId="0" applyFont="1" applyFill="1" applyBorder="1" applyAlignment="1">
      <alignment horizontal="left" vertical="center" wrapText="1"/>
    </xf>
    <xf numFmtId="0" fontId="7" fillId="15" borderId="9" xfId="0" applyFont="1" applyFill="1" applyBorder="1" applyAlignment="1">
      <alignment horizontal="left" vertical="center" wrapText="1"/>
    </xf>
    <xf numFmtId="0" fontId="7" fillId="15" borderId="11" xfId="0" applyFont="1" applyFill="1" applyBorder="1" applyAlignment="1">
      <alignment horizontal="center" vertical="center" wrapText="1"/>
    </xf>
    <xf numFmtId="0" fontId="7" fillId="15" borderId="2" xfId="0" applyFont="1" applyFill="1" applyBorder="1" applyAlignment="1">
      <alignment horizontal="center" vertical="center" wrapText="1"/>
    </xf>
    <xf numFmtId="0" fontId="7" fillId="15" borderId="68" xfId="0" applyFont="1" applyFill="1" applyBorder="1" applyAlignment="1">
      <alignment horizontal="center" vertical="center" wrapText="1"/>
    </xf>
    <xf numFmtId="0" fontId="7" fillId="15" borderId="9" xfId="0" applyFont="1" applyFill="1" applyBorder="1" applyAlignment="1">
      <alignment horizontal="center" vertical="center" wrapText="1"/>
    </xf>
    <xf numFmtId="0" fontId="7" fillId="15" borderId="23" xfId="0" applyFont="1" applyFill="1" applyBorder="1" applyAlignment="1">
      <alignment horizontal="left" vertical="center" wrapText="1"/>
    </xf>
    <xf numFmtId="0" fontId="7" fillId="15" borderId="17" xfId="0" applyFont="1" applyFill="1" applyBorder="1" applyAlignment="1">
      <alignment horizontal="left" vertical="center" wrapText="1"/>
    </xf>
    <xf numFmtId="0" fontId="7" fillId="15" borderId="18" xfId="0" applyFont="1" applyFill="1" applyBorder="1" applyAlignment="1">
      <alignment horizontal="left" vertical="center" wrapText="1"/>
    </xf>
    <xf numFmtId="0" fontId="6" fillId="15" borderId="0" xfId="0" applyNumberFormat="1" applyFont="1" applyFill="1" applyBorder="1" applyAlignment="1">
      <alignment horizontal="left" vertical="center" wrapText="1"/>
    </xf>
    <xf numFmtId="0" fontId="7" fillId="15" borderId="69" xfId="0" applyFont="1" applyFill="1" applyBorder="1" applyAlignment="1">
      <alignment horizontal="center" vertical="center" wrapText="1"/>
    </xf>
    <xf numFmtId="0" fontId="7" fillId="15" borderId="57" xfId="0" applyFont="1" applyFill="1" applyBorder="1" applyAlignment="1">
      <alignment horizontal="center" vertical="center" wrapText="1"/>
    </xf>
    <xf numFmtId="0" fontId="7" fillId="15" borderId="62" xfId="0" applyFont="1" applyFill="1" applyBorder="1" applyAlignment="1">
      <alignment horizontal="center" vertical="center" wrapText="1"/>
    </xf>
    <xf numFmtId="0" fontId="7" fillId="15" borderId="69" xfId="0" applyFont="1" applyFill="1" applyBorder="1" applyAlignment="1">
      <alignment horizontal="left" vertical="center" wrapText="1"/>
    </xf>
    <xf numFmtId="0" fontId="7" fillId="15" borderId="62" xfId="0" applyFont="1" applyFill="1" applyBorder="1" applyAlignment="1">
      <alignment horizontal="left" vertical="center" wrapText="1"/>
    </xf>
    <xf numFmtId="0" fontId="7" fillId="15" borderId="42" xfId="0" applyFont="1" applyFill="1" applyBorder="1" applyAlignment="1">
      <alignment horizontal="center" vertical="center" wrapText="1"/>
    </xf>
    <xf numFmtId="0" fontId="7" fillId="15" borderId="17" xfId="0" applyFont="1" applyFill="1" applyBorder="1" applyAlignment="1">
      <alignment horizontal="center" vertical="center" wrapText="1"/>
    </xf>
    <xf numFmtId="0" fontId="7" fillId="15" borderId="19" xfId="0" applyFont="1" applyFill="1" applyBorder="1" applyAlignment="1">
      <alignment horizontal="center" vertical="center" wrapText="1"/>
    </xf>
    <xf numFmtId="0" fontId="7" fillId="15" borderId="18" xfId="0" applyFont="1" applyFill="1" applyBorder="1" applyAlignment="1">
      <alignment horizontal="center" vertical="center" wrapText="1"/>
    </xf>
    <xf numFmtId="0" fontId="7" fillId="15" borderId="10" xfId="0" applyFont="1" applyFill="1" applyBorder="1" applyAlignment="1">
      <alignment horizontal="center" vertical="center" wrapText="1"/>
    </xf>
    <xf numFmtId="0" fontId="7" fillId="15" borderId="12" xfId="0" applyFont="1" applyFill="1" applyBorder="1" applyAlignment="1">
      <alignment horizontal="center" vertical="center" wrapText="1"/>
    </xf>
    <xf numFmtId="0" fontId="7" fillId="15" borderId="13" xfId="0" applyFont="1" applyFill="1" applyBorder="1" applyAlignment="1">
      <alignment horizontal="center" vertical="center" wrapText="1"/>
    </xf>
    <xf numFmtId="0" fontId="6" fillId="15" borderId="3" xfId="0" applyFont="1" applyFill="1" applyBorder="1" applyAlignment="1">
      <alignment horizontal="center" vertical="center" textRotation="90" wrapText="1"/>
    </xf>
    <xf numFmtId="0" fontId="6" fillId="15" borderId="24" xfId="0" applyFont="1" applyFill="1" applyBorder="1" applyAlignment="1">
      <alignment horizontal="center" vertical="center" textRotation="90" wrapText="1"/>
    </xf>
    <xf numFmtId="0" fontId="6" fillId="15" borderId="4" xfId="0" applyFont="1" applyFill="1" applyBorder="1" applyAlignment="1">
      <alignment horizontal="center" vertical="center" textRotation="90" wrapText="1"/>
    </xf>
    <xf numFmtId="0" fontId="6" fillId="15" borderId="56" xfId="0" applyFont="1" applyFill="1" applyBorder="1" applyAlignment="1">
      <alignment horizontal="center" vertical="center" textRotation="90" wrapText="1"/>
    </xf>
    <xf numFmtId="4" fontId="6" fillId="15" borderId="3" xfId="0" applyNumberFormat="1" applyFont="1" applyFill="1" applyBorder="1" applyAlignment="1">
      <alignment horizontal="center" vertical="center" textRotation="90" wrapText="1"/>
    </xf>
    <xf numFmtId="4" fontId="6" fillId="15" borderId="24" xfId="0" applyNumberFormat="1" applyFont="1" applyFill="1" applyBorder="1" applyAlignment="1">
      <alignment horizontal="center" vertical="center" textRotation="90" wrapText="1"/>
    </xf>
    <xf numFmtId="4" fontId="6" fillId="15" borderId="4" xfId="0" applyNumberFormat="1" applyFont="1" applyFill="1" applyBorder="1" applyAlignment="1">
      <alignment horizontal="center" vertical="center" textRotation="90" wrapText="1"/>
    </xf>
    <xf numFmtId="0" fontId="7" fillId="15" borderId="20" xfId="0" applyFont="1" applyFill="1" applyBorder="1" applyAlignment="1">
      <alignment horizontal="center" vertical="center" wrapText="1"/>
    </xf>
    <xf numFmtId="0" fontId="7" fillId="15" borderId="15" xfId="0" applyFont="1" applyFill="1" applyBorder="1" applyAlignment="1">
      <alignment horizontal="center" vertical="center" wrapText="1"/>
    </xf>
    <xf numFmtId="0" fontId="7" fillId="15" borderId="21" xfId="0" applyFont="1" applyFill="1" applyBorder="1" applyAlignment="1">
      <alignment horizontal="center" vertical="center" wrapText="1"/>
    </xf>
    <xf numFmtId="0" fontId="6" fillId="15" borderId="11" xfId="0" applyFont="1" applyFill="1" applyBorder="1" applyAlignment="1">
      <alignment horizontal="center" vertical="center" wrapText="1"/>
    </xf>
    <xf numFmtId="0" fontId="6" fillId="15" borderId="2" xfId="0" applyFont="1" applyFill="1" applyBorder="1" applyAlignment="1">
      <alignment horizontal="center" vertical="center" wrapText="1"/>
    </xf>
    <xf numFmtId="0" fontId="6" fillId="15" borderId="9" xfId="0" applyFont="1" applyFill="1" applyBorder="1" applyAlignment="1">
      <alignment horizontal="center" vertical="center" wrapText="1"/>
    </xf>
    <xf numFmtId="0" fontId="7" fillId="15" borderId="22" xfId="0" applyFont="1" applyFill="1" applyBorder="1" applyAlignment="1">
      <alignment horizontal="center" vertical="center" wrapText="1"/>
    </xf>
    <xf numFmtId="0" fontId="7" fillId="15" borderId="58" xfId="0" applyFont="1" applyFill="1" applyBorder="1" applyAlignment="1">
      <alignment horizontal="center" vertical="center" wrapText="1"/>
    </xf>
    <xf numFmtId="0" fontId="7" fillId="15" borderId="23" xfId="0" applyFont="1" applyFill="1" applyBorder="1" applyAlignment="1">
      <alignment horizontal="center" vertical="center" wrapText="1"/>
    </xf>
    <xf numFmtId="0" fontId="0" fillId="15" borderId="10" xfId="0" applyFill="1" applyBorder="1" applyAlignment="1">
      <alignment horizontal="left" vertical="center" wrapText="1"/>
    </xf>
    <xf numFmtId="0" fontId="0" fillId="15" borderId="12" xfId="0" applyFill="1" applyBorder="1" applyAlignment="1">
      <alignment horizontal="left" vertical="center" wrapText="1"/>
    </xf>
    <xf numFmtId="0" fontId="0" fillId="15" borderId="13" xfId="0" applyFill="1" applyBorder="1" applyAlignment="1">
      <alignment horizontal="left" vertical="center" wrapText="1"/>
    </xf>
    <xf numFmtId="0" fontId="5" fillId="15" borderId="0" xfId="0" applyFont="1" applyFill="1" applyAlignment="1">
      <alignment horizontal="right" vertical="top" wrapText="1"/>
    </xf>
    <xf numFmtId="0" fontId="11" fillId="15" borderId="0" xfId="0" applyFont="1" applyFill="1" applyAlignment="1">
      <alignment horizontal="center" vertical="center" wrapText="1"/>
    </xf>
    <xf numFmtId="164" fontId="6" fillId="15" borderId="3" xfId="27" applyNumberFormat="1" applyFont="1" applyFill="1" applyBorder="1" applyAlignment="1">
      <alignment horizontal="center" vertical="center" textRotation="90" wrapText="1"/>
    </xf>
    <xf numFmtId="164" fontId="6" fillId="15" borderId="4" xfId="27" applyNumberFormat="1" applyFont="1" applyFill="1" applyBorder="1" applyAlignment="1">
      <alignment horizontal="center" vertical="center" textRotation="90" wrapText="1"/>
    </xf>
    <xf numFmtId="0" fontId="12" fillId="15" borderId="0" xfId="0" applyFont="1" applyFill="1" applyAlignment="1">
      <alignment horizontal="center" vertical="center" wrapText="1"/>
    </xf>
    <xf numFmtId="0" fontId="6" fillId="15" borderId="3" xfId="0" applyFont="1" applyFill="1" applyBorder="1" applyAlignment="1">
      <alignment horizontal="center" vertical="center" wrapText="1"/>
    </xf>
    <xf numFmtId="0" fontId="6" fillId="15" borderId="24" xfId="0" applyFont="1" applyFill="1" applyBorder="1" applyAlignment="1">
      <alignment horizontal="center" vertical="center" wrapText="1"/>
    </xf>
    <xf numFmtId="0" fontId="6" fillId="15" borderId="4" xfId="0" applyFont="1" applyFill="1" applyBorder="1" applyAlignment="1">
      <alignment horizontal="center" vertical="center" wrapText="1"/>
    </xf>
  </cellXfs>
  <cellStyles count="32">
    <cellStyle name="Excel Built-in 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 customBuiltin="1"/>
    <cellStyle name="Обычный 2" xfId="19"/>
    <cellStyle name="Обычный 3" xfId="20"/>
    <cellStyle name="Обычный 4" xfId="30"/>
    <cellStyle name="Обычный_Краткосрочный план 2016" xfId="21"/>
    <cellStyle name="Плохой" xfId="22" builtinId="27" customBuiltin="1"/>
    <cellStyle name="Пояснение" xfId="23" builtinId="53" customBuiltin="1"/>
    <cellStyle name="Примечание" xfId="24" builtinId="10" customBuiltin="1"/>
    <cellStyle name="Примечание 2" xfId="31"/>
    <cellStyle name="Связанная ячейка" xfId="25" builtinId="24" customBuiltin="1"/>
    <cellStyle name="Текст предупреждения" xfId="26" builtinId="11" customBuiltin="1"/>
    <cellStyle name="Финансовый" xfId="27" builtinId="3" customBuiltin="1"/>
    <cellStyle name="Финансовый 2" xfId="28"/>
    <cellStyle name="Хороший" xfId="29" builtinId="26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rushkova/Local%20Settings/Temporary%20Internet%20Files/Content.Outlook/IHEZPQLT/&#1042;&#1089;&#1077;%20&#1076;&#1086;&#1082;&#1091;&#1084;&#1077;&#1085;&#1090;&#1099;%20&#1089;&#1086;%20&#1089;&#1090;&#1072;&#1088;&#1086;&#1075;&#1086;%20&#1082;&#1086;&#1084;&#1087;&#1072;/&#1057;%20&#1088;&#1072;&#1073;&#1086;&#1095;&#1077;&#1075;&#1086;%20&#1089;&#1090;&#1086;&#1083;&#1072;/&#1050;&#1040;&#1055;&#1056;&#1045;&#1052;&#1054;&#1053;&#1058;/R01%20-%20&#1056;&#1077;&#1077;&#1089;&#1090;&#1088;%20&#1052;&#1050;&#104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2_%20201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rushkova/Local%20Settings/Temporary%20Internet%20Files/Content.Outlook/IHEZPQLT/&#1044;&#1059;&#1041;&#1051;&#1048;&#1056;&#1054;&#1042;&#1040;&#1053;&#1048;&#1045;%20&#1044;&#1054;&#1050;&#1059;&#1052;&#1045;&#1053;&#1058;&#1054;&#1042;%20&#1057;%2006.04.2016/14.01.2016%20%20R01%20(&#1080;&#1079;%20&#1056;&#1055;&#1050;&#1056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правочники"/>
      <sheetName val="tmpWQ1"/>
    </sheetNames>
    <sheetDataSet>
      <sheetData sheetId="0"/>
      <sheetData sheetId="1">
        <row r="201">
          <cell r="A201" t="str">
            <v>Засыпные с деревянным каркасом</v>
          </cell>
        </row>
        <row r="202">
          <cell r="A202" t="str">
            <v>Каркасно-сборный ж/б</v>
          </cell>
        </row>
        <row r="203">
          <cell r="A203" t="str">
            <v>Железобетонные с металлическим каркасом</v>
          </cell>
        </row>
        <row r="204">
          <cell r="A204" t="str">
            <v>Железобетонные с монолитным каркасом</v>
          </cell>
        </row>
        <row r="205">
          <cell r="A205" t="str">
            <v>Кирпичные со сборным ж/б каркасом</v>
          </cell>
        </row>
        <row r="206">
          <cell r="A206" t="str">
            <v>Кирпичные с металлическим каркасом</v>
          </cell>
        </row>
        <row r="207">
          <cell r="A207" t="str">
            <v>Кирпичные с монолитным каркасом</v>
          </cell>
        </row>
        <row r="208">
          <cell r="A208" t="str">
            <v>Крупноблочные со сборным ж/б каркасом</v>
          </cell>
        </row>
        <row r="209">
          <cell r="A209" t="str">
            <v>Крупноблочные с металлическим каркасом</v>
          </cell>
        </row>
        <row r="210">
          <cell r="A210" t="str">
            <v>Крупноблочные с монолитным каркасом</v>
          </cell>
        </row>
        <row r="211">
          <cell r="A211" t="str">
            <v>Кирпичные</v>
          </cell>
        </row>
        <row r="212">
          <cell r="A212" t="str">
            <v>Крупноблочные силикат</v>
          </cell>
        </row>
        <row r="213">
          <cell r="A213" t="str">
            <v>Крупноблочные ячеистый бетон</v>
          </cell>
        </row>
        <row r="214">
          <cell r="A214" t="str">
            <v>Крупноблочные пеноблоки</v>
          </cell>
        </row>
        <row r="215">
          <cell r="A215" t="str">
            <v>Крупноблочные газоблоки</v>
          </cell>
        </row>
        <row r="216">
          <cell r="A216" t="str">
            <v>Панельные</v>
          </cell>
        </row>
        <row r="217">
          <cell r="A217" t="str">
            <v>Монолитные</v>
          </cell>
        </row>
        <row r="218">
          <cell r="A218" t="str">
            <v>Каменные</v>
          </cell>
        </row>
        <row r="219">
          <cell r="A219" t="str">
            <v>Бревно (брус)</v>
          </cell>
        </row>
        <row r="220">
          <cell r="A220" t="str">
            <v>Шпалы</v>
          </cell>
        </row>
        <row r="221">
          <cell r="A221" t="str">
            <v>Деревянные щитовые</v>
          </cell>
        </row>
        <row r="222">
          <cell r="A222" t="str">
            <v>Комбинированные</v>
          </cell>
        </row>
        <row r="223">
          <cell r="A223" t="str">
            <v>Многослойные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7"/>
    </sheetNames>
    <sheetDataSet>
      <sheetData sheetId="0">
        <row r="15">
          <cell r="V15">
            <v>1125536469.4499998</v>
          </cell>
        </row>
        <row r="29">
          <cell r="S29">
            <v>89832436.829999998</v>
          </cell>
        </row>
        <row r="38">
          <cell r="S38">
            <v>25994977.789999995</v>
          </cell>
        </row>
        <row r="46">
          <cell r="S46">
            <v>13308734.810000001</v>
          </cell>
        </row>
        <row r="61">
          <cell r="S61">
            <v>88023458.109999985</v>
          </cell>
        </row>
        <row r="200">
          <cell r="S200">
            <v>465943188.35000002</v>
          </cell>
        </row>
        <row r="210">
          <cell r="S210">
            <v>34729206.399999999</v>
          </cell>
        </row>
        <row r="228">
          <cell r="S228">
            <v>30612717.329999998</v>
          </cell>
        </row>
        <row r="269">
          <cell r="S269">
            <v>57697478.580000006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Реестр (2)"/>
      <sheetName val="Реестр (3)"/>
    </sheetNames>
    <sheetDataSet>
      <sheetData sheetId="0" refreshError="1">
        <row r="3245">
          <cell r="AI3245">
            <v>9</v>
          </cell>
          <cell r="AV3245" t="str">
            <v>панельные</v>
          </cell>
          <cell r="AX3245" t="str">
            <v>плоская</v>
          </cell>
        </row>
        <row r="5773">
          <cell r="AX5773" t="str">
            <v>скатная</v>
          </cell>
        </row>
        <row r="5774">
          <cell r="AX5774" t="str">
            <v>скатная</v>
          </cell>
        </row>
        <row r="5799">
          <cell r="AX5799" t="str">
            <v>плоская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H566"/>
  <sheetViews>
    <sheetView tabSelected="1" view="pageBreakPreview" topLeftCell="L1" zoomScale="80" zoomScaleNormal="100" zoomScaleSheetLayoutView="80" zoomScalePageLayoutView="80" workbookViewId="0">
      <selection activeCell="N4" sqref="N4:U4"/>
    </sheetView>
  </sheetViews>
  <sheetFormatPr defaultColWidth="9.33203125" defaultRowHeight="13.2" x14ac:dyDescent="0.25"/>
  <cols>
    <col min="1" max="1" width="7.77734375" style="2" customWidth="1"/>
    <col min="2" max="2" width="66" style="2" customWidth="1"/>
    <col min="3" max="3" width="12.6640625" style="8" customWidth="1"/>
    <col min="4" max="4" width="8.33203125" style="8" customWidth="1"/>
    <col min="5" max="5" width="11.33203125" style="8" customWidth="1"/>
    <col min="6" max="6" width="16.109375" style="99" customWidth="1"/>
    <col min="7" max="7" width="16" style="99" customWidth="1"/>
    <col min="8" max="8" width="21.77734375" style="10" customWidth="1"/>
    <col min="9" max="9" width="21.77734375" style="9" customWidth="1"/>
    <col min="10" max="10" width="20.33203125" style="9" customWidth="1"/>
    <col min="11" max="11" width="21.6640625" style="9" customWidth="1"/>
    <col min="12" max="12" width="19.6640625" style="9" customWidth="1"/>
    <col min="13" max="13" width="21.77734375" style="9" customWidth="1"/>
    <col min="14" max="14" width="18.77734375" style="9" customWidth="1"/>
    <col min="15" max="15" width="20.6640625" style="9" customWidth="1"/>
    <col min="16" max="16" width="13.33203125" style="9" customWidth="1"/>
    <col min="17" max="17" width="12.33203125" style="9" customWidth="1"/>
    <col min="18" max="18" width="20.6640625" style="9" customWidth="1"/>
    <col min="19" max="19" width="24.33203125" style="97" customWidth="1"/>
    <col min="20" max="20" width="10.77734375" style="8" customWidth="1"/>
    <col min="21" max="21" width="11" style="8" customWidth="1"/>
    <col min="22" max="22" width="7.77734375" style="8" customWidth="1"/>
    <col min="23" max="23" width="22.33203125" style="200" customWidth="1"/>
    <col min="24" max="24" width="8.44140625" style="2" customWidth="1"/>
    <col min="25" max="25" width="21.77734375" style="2" hidden="1" customWidth="1"/>
    <col min="26" max="26" width="13.44140625" style="2" hidden="1" customWidth="1"/>
    <col min="27" max="27" width="20.44140625" style="2" hidden="1" customWidth="1"/>
    <col min="28" max="28" width="17.109375" style="2" customWidth="1"/>
    <col min="29" max="33" width="3.6640625" style="2" customWidth="1"/>
    <col min="34" max="16384" width="9.33203125" style="2"/>
  </cols>
  <sheetData>
    <row r="1" spans="1:25" s="4" customFormat="1" ht="51" customHeight="1" x14ac:dyDescent="0.25">
      <c r="C1" s="5"/>
      <c r="D1" s="5"/>
      <c r="E1" s="5"/>
      <c r="F1" s="101"/>
      <c r="G1" s="101"/>
      <c r="H1" s="7"/>
      <c r="I1" s="6"/>
      <c r="J1" s="6"/>
      <c r="K1" s="6"/>
      <c r="L1" s="6"/>
      <c r="M1" s="6"/>
      <c r="N1" s="414" t="s">
        <v>483</v>
      </c>
      <c r="O1" s="414"/>
      <c r="P1" s="414"/>
      <c r="Q1" s="414"/>
      <c r="R1" s="414"/>
      <c r="S1" s="414"/>
      <c r="T1" s="414"/>
      <c r="U1" s="5"/>
      <c r="V1" s="5"/>
    </row>
    <row r="2" spans="1:25" ht="51" customHeight="1" x14ac:dyDescent="0.25">
      <c r="N2" s="414" t="s">
        <v>477</v>
      </c>
      <c r="O2" s="414"/>
      <c r="P2" s="414"/>
      <c r="Q2" s="414"/>
      <c r="R2" s="414"/>
      <c r="S2" s="414"/>
      <c r="T2" s="414"/>
      <c r="U2" s="414"/>
    </row>
    <row r="3" spans="1:25" ht="51" customHeight="1" x14ac:dyDescent="0.25">
      <c r="N3" s="414" t="s">
        <v>127</v>
      </c>
      <c r="O3" s="414"/>
      <c r="P3" s="414"/>
      <c r="Q3" s="414"/>
      <c r="R3" s="414"/>
      <c r="S3" s="414"/>
      <c r="T3" s="338"/>
    </row>
    <row r="4" spans="1:25" ht="50.25" customHeight="1" x14ac:dyDescent="0.25">
      <c r="N4" s="414" t="s">
        <v>626</v>
      </c>
      <c r="O4" s="414"/>
      <c r="P4" s="414"/>
      <c r="Q4" s="414"/>
      <c r="R4" s="414"/>
      <c r="S4" s="414"/>
      <c r="T4" s="414"/>
      <c r="U4" s="414"/>
    </row>
    <row r="5" spans="1:25" ht="18" x14ac:dyDescent="0.25">
      <c r="A5" s="11"/>
      <c r="B5" s="11"/>
      <c r="C5" s="373"/>
      <c r="D5" s="373"/>
      <c r="E5" s="373"/>
      <c r="F5" s="102"/>
      <c r="G5" s="102"/>
      <c r="H5" s="13"/>
      <c r="I5" s="12"/>
      <c r="J5" s="12"/>
      <c r="K5" s="12"/>
      <c r="L5" s="12"/>
      <c r="M5" s="12"/>
      <c r="N5" s="458"/>
      <c r="O5" s="458"/>
      <c r="P5" s="458"/>
      <c r="Q5" s="458"/>
      <c r="R5" s="458"/>
      <c r="S5" s="458"/>
      <c r="T5" s="373"/>
      <c r="U5" s="373"/>
      <c r="V5" s="373"/>
    </row>
    <row r="6" spans="1:25" ht="22.8" x14ac:dyDescent="0.25">
      <c r="A6" s="459" t="s">
        <v>478</v>
      </c>
      <c r="B6" s="459"/>
      <c r="C6" s="459"/>
      <c r="D6" s="459"/>
      <c r="E6" s="459"/>
      <c r="F6" s="459"/>
      <c r="G6" s="459"/>
      <c r="H6" s="459"/>
      <c r="I6" s="459"/>
      <c r="J6" s="459"/>
      <c r="K6" s="459"/>
      <c r="L6" s="459"/>
      <c r="M6" s="459"/>
      <c r="N6" s="459"/>
      <c r="O6" s="459"/>
      <c r="P6" s="459"/>
      <c r="Q6" s="459"/>
      <c r="R6" s="459"/>
      <c r="S6" s="459"/>
      <c r="T6" s="459"/>
      <c r="U6" s="459"/>
      <c r="V6" s="370"/>
    </row>
    <row r="7" spans="1:25" ht="22.8" x14ac:dyDescent="0.25">
      <c r="A7" s="370"/>
      <c r="B7" s="370"/>
      <c r="C7" s="370"/>
      <c r="D7" s="370"/>
      <c r="E7" s="370"/>
      <c r="F7" s="103"/>
      <c r="G7" s="103"/>
      <c r="H7" s="85"/>
      <c r="I7" s="84"/>
      <c r="J7" s="84"/>
      <c r="K7" s="84"/>
      <c r="L7" s="84"/>
      <c r="M7" s="84"/>
      <c r="N7" s="84"/>
      <c r="O7" s="84"/>
      <c r="P7" s="84"/>
      <c r="Q7" s="84"/>
      <c r="R7" s="84"/>
      <c r="S7" s="86"/>
      <c r="T7" s="370"/>
      <c r="U7" s="370"/>
      <c r="V7" s="370"/>
    </row>
    <row r="8" spans="1:25" ht="22.8" x14ac:dyDescent="0.25">
      <c r="A8" s="462" t="s">
        <v>445</v>
      </c>
      <c r="B8" s="462"/>
      <c r="C8" s="462"/>
      <c r="D8" s="462"/>
      <c r="E8" s="462"/>
      <c r="F8" s="462"/>
      <c r="G8" s="462"/>
      <c r="H8" s="462"/>
      <c r="I8" s="462"/>
      <c r="J8" s="462"/>
      <c r="K8" s="462"/>
      <c r="L8" s="462"/>
      <c r="M8" s="462"/>
      <c r="N8" s="462"/>
      <c r="O8" s="462"/>
      <c r="P8" s="462"/>
      <c r="Q8" s="462"/>
      <c r="R8" s="462"/>
      <c r="S8" s="462"/>
      <c r="T8" s="462"/>
      <c r="U8" s="462"/>
      <c r="V8" s="371"/>
    </row>
    <row r="9" spans="1:25" ht="17.399999999999999" x14ac:dyDescent="0.25">
      <c r="A9" s="14"/>
      <c r="B9" s="14"/>
      <c r="C9" s="14"/>
      <c r="D9" s="14"/>
      <c r="E9" s="14"/>
      <c r="F9" s="104"/>
      <c r="G9" s="104"/>
      <c r="H9" s="16"/>
      <c r="I9" s="15"/>
      <c r="J9" s="15"/>
      <c r="K9" s="15"/>
      <c r="L9" s="15"/>
      <c r="M9" s="15"/>
      <c r="N9" s="15"/>
      <c r="O9" s="15"/>
      <c r="P9" s="15"/>
      <c r="Q9" s="15"/>
      <c r="R9" s="15"/>
      <c r="S9" s="87"/>
      <c r="T9" s="14"/>
      <c r="U9" s="14"/>
      <c r="V9" s="14"/>
    </row>
    <row r="10" spans="1:25" ht="18" customHeight="1" x14ac:dyDescent="0.25">
      <c r="A10" s="463" t="s">
        <v>0</v>
      </c>
      <c r="B10" s="463" t="s">
        <v>1</v>
      </c>
      <c r="C10" s="439" t="s">
        <v>2</v>
      </c>
      <c r="D10" s="439" t="s">
        <v>446</v>
      </c>
      <c r="E10" s="439" t="s">
        <v>463</v>
      </c>
      <c r="F10" s="443" t="s">
        <v>3</v>
      </c>
      <c r="G10" s="443" t="s">
        <v>115</v>
      </c>
      <c r="H10" s="449" t="s">
        <v>36</v>
      </c>
      <c r="I10" s="450"/>
      <c r="J10" s="450"/>
      <c r="K10" s="450"/>
      <c r="L10" s="450"/>
      <c r="M10" s="450"/>
      <c r="N10" s="450"/>
      <c r="O10" s="450"/>
      <c r="P10" s="450"/>
      <c r="Q10" s="450"/>
      <c r="R10" s="450"/>
      <c r="S10" s="451"/>
      <c r="T10" s="439" t="s">
        <v>38</v>
      </c>
      <c r="U10" s="439" t="s">
        <v>39</v>
      </c>
      <c r="V10" s="346"/>
    </row>
    <row r="11" spans="1:25" ht="18" customHeight="1" x14ac:dyDescent="0.25">
      <c r="A11" s="464"/>
      <c r="B11" s="464"/>
      <c r="C11" s="440"/>
      <c r="D11" s="440"/>
      <c r="E11" s="440"/>
      <c r="F11" s="444"/>
      <c r="G11" s="444"/>
      <c r="H11" s="460" t="s">
        <v>4</v>
      </c>
      <c r="I11" s="439" t="s">
        <v>5</v>
      </c>
      <c r="J11" s="439" t="s">
        <v>6</v>
      </c>
      <c r="K11" s="439" t="s">
        <v>7</v>
      </c>
      <c r="L11" s="439" t="s">
        <v>8</v>
      </c>
      <c r="M11" s="439" t="s">
        <v>9</v>
      </c>
      <c r="N11" s="439" t="s">
        <v>10</v>
      </c>
      <c r="O11" s="439" t="s">
        <v>37</v>
      </c>
      <c r="P11" s="449" t="s">
        <v>11</v>
      </c>
      <c r="Q11" s="450"/>
      <c r="R11" s="450"/>
      <c r="S11" s="451"/>
      <c r="T11" s="440"/>
      <c r="U11" s="440"/>
      <c r="V11" s="346"/>
    </row>
    <row r="12" spans="1:25" ht="86.4" customHeight="1" x14ac:dyDescent="0.25">
      <c r="A12" s="464"/>
      <c r="B12" s="464"/>
      <c r="C12" s="440"/>
      <c r="D12" s="440"/>
      <c r="E12" s="440"/>
      <c r="F12" s="445"/>
      <c r="G12" s="445"/>
      <c r="H12" s="461"/>
      <c r="I12" s="441"/>
      <c r="J12" s="441"/>
      <c r="K12" s="441"/>
      <c r="L12" s="441"/>
      <c r="M12" s="441"/>
      <c r="N12" s="441"/>
      <c r="O12" s="441"/>
      <c r="P12" s="17" t="s">
        <v>23</v>
      </c>
      <c r="Q12" s="17" t="s">
        <v>34</v>
      </c>
      <c r="R12" s="17" t="s">
        <v>12</v>
      </c>
      <c r="S12" s="88" t="s">
        <v>33</v>
      </c>
      <c r="T12" s="440"/>
      <c r="U12" s="440"/>
      <c r="V12" s="346"/>
    </row>
    <row r="13" spans="1:25" ht="18" customHeight="1" x14ac:dyDescent="0.25">
      <c r="A13" s="465"/>
      <c r="B13" s="465"/>
      <c r="C13" s="441"/>
      <c r="D13" s="442"/>
      <c r="E13" s="442"/>
      <c r="F13" s="105" t="s">
        <v>13</v>
      </c>
      <c r="G13" s="105" t="s">
        <v>13</v>
      </c>
      <c r="H13" s="18" t="s">
        <v>14</v>
      </c>
      <c r="I13" s="46" t="s">
        <v>14</v>
      </c>
      <c r="J13" s="46" t="s">
        <v>14</v>
      </c>
      <c r="K13" s="46" t="s">
        <v>14</v>
      </c>
      <c r="L13" s="46" t="s">
        <v>14</v>
      </c>
      <c r="M13" s="46" t="s">
        <v>14</v>
      </c>
      <c r="N13" s="46" t="s">
        <v>14</v>
      </c>
      <c r="O13" s="46" t="s">
        <v>14</v>
      </c>
      <c r="P13" s="46" t="s">
        <v>14</v>
      </c>
      <c r="Q13" s="46" t="s">
        <v>14</v>
      </c>
      <c r="R13" s="46" t="s">
        <v>14</v>
      </c>
      <c r="S13" s="89" t="s">
        <v>14</v>
      </c>
      <c r="T13" s="441"/>
      <c r="U13" s="441"/>
      <c r="V13" s="346"/>
      <c r="Y13" s="60">
        <f>Y277+Y352</f>
        <v>375795830.15999961</v>
      </c>
    </row>
    <row r="14" spans="1:25" ht="18" customHeight="1" x14ac:dyDescent="0.25">
      <c r="A14" s="46" t="s">
        <v>15</v>
      </c>
      <c r="B14" s="46" t="s">
        <v>16</v>
      </c>
      <c r="C14" s="46" t="s">
        <v>17</v>
      </c>
      <c r="D14" s="143">
        <v>4</v>
      </c>
      <c r="E14" s="143">
        <v>5</v>
      </c>
      <c r="F14" s="46">
        <v>6</v>
      </c>
      <c r="G14" s="46">
        <v>7</v>
      </c>
      <c r="H14" s="46">
        <v>8</v>
      </c>
      <c r="I14" s="46">
        <v>9</v>
      </c>
      <c r="J14" s="46">
        <v>10</v>
      </c>
      <c r="K14" s="46">
        <v>11</v>
      </c>
      <c r="L14" s="46">
        <v>12</v>
      </c>
      <c r="M14" s="46">
        <v>13</v>
      </c>
      <c r="N14" s="46">
        <v>14</v>
      </c>
      <c r="O14" s="46">
        <v>15</v>
      </c>
      <c r="P14" s="19">
        <v>16</v>
      </c>
      <c r="Q14" s="100">
        <v>17</v>
      </c>
      <c r="R14" s="19">
        <v>18</v>
      </c>
      <c r="S14" s="19">
        <v>19</v>
      </c>
      <c r="T14" s="19">
        <v>20</v>
      </c>
      <c r="U14" s="19">
        <v>21</v>
      </c>
      <c r="V14" s="347"/>
    </row>
    <row r="15" spans="1:25" ht="18" customHeight="1" x14ac:dyDescent="0.25">
      <c r="A15" s="417" t="s">
        <v>256</v>
      </c>
      <c r="B15" s="418"/>
      <c r="C15" s="20"/>
      <c r="D15" s="20"/>
      <c r="E15" s="20"/>
      <c r="F15" s="90">
        <f>F33+F47+F59+F86+F277+F293+F311+F352+F356+F360+F363+F396+F401+F409+F423+F428+F432+F442+F446+F454+F462+F466+F469+F473+F479+F486+F509+F533+F538+F550</f>
        <v>1530760.5099999995</v>
      </c>
      <c r="G15" s="90">
        <f t="shared" ref="G15:S15" si="0">G33+G47+G59+G86+G277+G293+G311+G352+G356+G360+G363+G396+G401+G409+G423+G428+G432+G442+G446+G454+G462+G466+G469+G473+G479+G486+G509+G533+G538+G550</f>
        <v>1305620.7300000002</v>
      </c>
      <c r="H15" s="90">
        <f t="shared" si="0"/>
        <v>1695964395.9139996</v>
      </c>
      <c r="I15" s="90">
        <f t="shared" si="0"/>
        <v>421488565.72799999</v>
      </c>
      <c r="J15" s="90">
        <f t="shared" si="0"/>
        <v>165560648.54000002</v>
      </c>
      <c r="K15" s="90">
        <f t="shared" si="0"/>
        <v>626466372.21599984</v>
      </c>
      <c r="L15" s="90">
        <f t="shared" si="0"/>
        <v>1921322.7209999999</v>
      </c>
      <c r="M15" s="90">
        <f t="shared" si="0"/>
        <v>430407956.49699998</v>
      </c>
      <c r="N15" s="90">
        <f t="shared" si="0"/>
        <v>4896030.4619999994</v>
      </c>
      <c r="O15" s="90">
        <f t="shared" si="0"/>
        <v>45223499.750000007</v>
      </c>
      <c r="P15" s="26">
        <f t="shared" si="0"/>
        <v>0</v>
      </c>
      <c r="Q15" s="26">
        <f t="shared" si="0"/>
        <v>0</v>
      </c>
      <c r="R15" s="90">
        <f t="shared" si="0"/>
        <v>15000000</v>
      </c>
      <c r="S15" s="90">
        <f t="shared" si="0"/>
        <v>1680964395.9139996</v>
      </c>
      <c r="T15" s="21" t="s">
        <v>112</v>
      </c>
      <c r="U15" s="21" t="s">
        <v>112</v>
      </c>
      <c r="V15" s="3"/>
      <c r="W15" s="142">
        <f>S15+R15</f>
        <v>1695964395.9139996</v>
      </c>
      <c r="Y15" s="60">
        <f>W15-'[2]2017'!$V$15</f>
        <v>570427926.46399975</v>
      </c>
    </row>
    <row r="16" spans="1:25" ht="18" customHeight="1" x14ac:dyDescent="0.25">
      <c r="A16" s="419" t="s">
        <v>40</v>
      </c>
      <c r="B16" s="434"/>
      <c r="C16" s="434"/>
      <c r="D16" s="428"/>
      <c r="E16" s="428"/>
      <c r="F16" s="434"/>
      <c r="G16" s="434"/>
      <c r="H16" s="420"/>
      <c r="I16" s="420"/>
      <c r="J16" s="420"/>
      <c r="K16" s="420"/>
      <c r="L16" s="420"/>
      <c r="M16" s="420"/>
      <c r="N16" s="420"/>
      <c r="O16" s="420"/>
      <c r="P16" s="420"/>
      <c r="Q16" s="420"/>
      <c r="R16" s="420"/>
      <c r="S16" s="422"/>
      <c r="T16" s="1"/>
      <c r="U16" s="1"/>
      <c r="V16" s="1"/>
    </row>
    <row r="17" spans="1:27" s="111" customFormat="1" ht="18" customHeight="1" x14ac:dyDescent="0.25">
      <c r="A17" s="374">
        <v>1</v>
      </c>
      <c r="B17" s="65" t="s">
        <v>516</v>
      </c>
      <c r="C17" s="119">
        <v>1951</v>
      </c>
      <c r="D17" s="243"/>
      <c r="E17" s="243"/>
      <c r="F17" s="380">
        <v>456</v>
      </c>
      <c r="G17" s="32">
        <v>403.3</v>
      </c>
      <c r="H17" s="305">
        <f>I17+J17+K17+L17+M17+N17+O17</f>
        <v>1988527.1099999996</v>
      </c>
      <c r="I17" s="58">
        <v>889070.82</v>
      </c>
      <c r="J17" s="69">
        <v>0</v>
      </c>
      <c r="K17" s="58">
        <f>ROUND(403.3*1595.21,2)</f>
        <v>643348.18999999994</v>
      </c>
      <c r="L17" s="69">
        <v>0</v>
      </c>
      <c r="M17" s="58">
        <f>ROUND(882.1*403.3,2)</f>
        <v>355750.93</v>
      </c>
      <c r="N17" s="58">
        <f>ROUND(248.84*403.3,2)</f>
        <v>100357.17</v>
      </c>
      <c r="O17" s="69">
        <v>0</v>
      </c>
      <c r="P17" s="69">
        <v>0</v>
      </c>
      <c r="Q17" s="69">
        <v>0</v>
      </c>
      <c r="R17" s="69">
        <v>0</v>
      </c>
      <c r="S17" s="305">
        <f t="shared" ref="S17:S20" si="1">H17</f>
        <v>1988527.1099999996</v>
      </c>
      <c r="T17" s="374">
        <v>2016</v>
      </c>
      <c r="U17" s="374">
        <v>2017</v>
      </c>
      <c r="V17" s="381">
        <v>1</v>
      </c>
    </row>
    <row r="18" spans="1:27" s="111" customFormat="1" ht="18" customHeight="1" x14ac:dyDescent="0.25">
      <c r="A18" s="374">
        <f>A17+1</f>
        <v>2</v>
      </c>
      <c r="B18" s="65" t="s">
        <v>517</v>
      </c>
      <c r="C18" s="119">
        <v>1957</v>
      </c>
      <c r="D18" s="243"/>
      <c r="E18" s="243"/>
      <c r="F18" s="380">
        <v>2020.4</v>
      </c>
      <c r="G18" s="32">
        <v>1842.9</v>
      </c>
      <c r="H18" s="305">
        <f>I18+J18+K18+L18+M18+N18+O18</f>
        <v>3614313.9099999997</v>
      </c>
      <c r="I18" s="69">
        <v>674501.4</v>
      </c>
      <c r="J18" s="69">
        <v>0</v>
      </c>
      <c r="K18" s="58">
        <f>ROUND(1595.21*1842.9,2)</f>
        <v>2939812.51</v>
      </c>
      <c r="L18" s="69">
        <v>0</v>
      </c>
      <c r="M18" s="69">
        <v>0</v>
      </c>
      <c r="N18" s="69">
        <v>0</v>
      </c>
      <c r="O18" s="69">
        <v>0</v>
      </c>
      <c r="P18" s="69">
        <v>0</v>
      </c>
      <c r="Q18" s="69">
        <v>0</v>
      </c>
      <c r="R18" s="69">
        <v>0</v>
      </c>
      <c r="S18" s="305">
        <f t="shared" si="1"/>
        <v>3614313.9099999997</v>
      </c>
      <c r="T18" s="374">
        <v>2016</v>
      </c>
      <c r="U18" s="374">
        <v>2017</v>
      </c>
      <c r="V18" s="381">
        <f>V17+1</f>
        <v>2</v>
      </c>
    </row>
    <row r="19" spans="1:27" s="111" customFormat="1" ht="18" customHeight="1" x14ac:dyDescent="0.25">
      <c r="A19" s="374">
        <f t="shared" ref="A19:A32" si="2">A18+1</f>
        <v>3</v>
      </c>
      <c r="B19" s="65" t="s">
        <v>518</v>
      </c>
      <c r="C19" s="119">
        <v>1961</v>
      </c>
      <c r="D19" s="243"/>
      <c r="E19" s="243"/>
      <c r="F19" s="380">
        <v>1722.3</v>
      </c>
      <c r="G19" s="32">
        <v>1601.8</v>
      </c>
      <c r="H19" s="305">
        <f>I19+J19+K19+L19+M19+N19+O19</f>
        <v>4476918.87</v>
      </c>
      <c r="I19" s="58">
        <v>3012008.7</v>
      </c>
      <c r="J19" s="69">
        <v>0</v>
      </c>
      <c r="K19" s="58">
        <f>ROUND(914.54*1601.8,2)</f>
        <v>1464910.17</v>
      </c>
      <c r="L19" s="69">
        <v>0</v>
      </c>
      <c r="M19" s="69">
        <v>0</v>
      </c>
      <c r="N19" s="69">
        <v>0</v>
      </c>
      <c r="O19" s="69">
        <v>0</v>
      </c>
      <c r="P19" s="69">
        <v>0</v>
      </c>
      <c r="Q19" s="69">
        <v>0</v>
      </c>
      <c r="R19" s="69">
        <v>0</v>
      </c>
      <c r="S19" s="305">
        <f t="shared" si="1"/>
        <v>4476918.87</v>
      </c>
      <c r="T19" s="374">
        <v>2016</v>
      </c>
      <c r="U19" s="374">
        <v>2017</v>
      </c>
      <c r="V19" s="381">
        <f t="shared" ref="V19:V20" si="3">V18+1</f>
        <v>3</v>
      </c>
    </row>
    <row r="20" spans="1:27" s="111" customFormat="1" ht="18" customHeight="1" x14ac:dyDescent="0.25">
      <c r="A20" s="374">
        <f t="shared" si="2"/>
        <v>4</v>
      </c>
      <c r="B20" s="65" t="s">
        <v>519</v>
      </c>
      <c r="C20" s="119">
        <v>1961</v>
      </c>
      <c r="D20" s="243"/>
      <c r="E20" s="243"/>
      <c r="F20" s="380">
        <v>3313.6</v>
      </c>
      <c r="G20" s="32">
        <v>3075.7</v>
      </c>
      <c r="H20" s="305">
        <f>I20+J20+K20+L20+M20+N20+O20</f>
        <v>10689902.92</v>
      </c>
      <c r="I20" s="58">
        <v>5783515.5199999996</v>
      </c>
      <c r="J20" s="69">
        <v>0</v>
      </c>
      <c r="K20" s="58">
        <f>ROUND(1595.21*3075.7,2)</f>
        <v>4906387.4000000004</v>
      </c>
      <c r="L20" s="69">
        <v>0</v>
      </c>
      <c r="M20" s="69">
        <v>0</v>
      </c>
      <c r="N20" s="69">
        <v>0</v>
      </c>
      <c r="O20" s="69">
        <v>0</v>
      </c>
      <c r="P20" s="69">
        <v>0</v>
      </c>
      <c r="Q20" s="69">
        <v>0</v>
      </c>
      <c r="R20" s="69">
        <v>0</v>
      </c>
      <c r="S20" s="305">
        <f t="shared" si="1"/>
        <v>10689902.92</v>
      </c>
      <c r="T20" s="374">
        <v>2016</v>
      </c>
      <c r="U20" s="374">
        <v>2017</v>
      </c>
      <c r="V20" s="381">
        <f t="shared" si="3"/>
        <v>4</v>
      </c>
    </row>
    <row r="21" spans="1:27" s="23" customFormat="1" ht="18" customHeight="1" x14ac:dyDescent="0.25">
      <c r="A21" s="374">
        <f t="shared" si="2"/>
        <v>5</v>
      </c>
      <c r="B21" s="120" t="s">
        <v>196</v>
      </c>
      <c r="C21" s="108">
        <v>1991</v>
      </c>
      <c r="D21" s="177"/>
      <c r="E21" s="189"/>
      <c r="F21" s="32">
        <v>5284.3</v>
      </c>
      <c r="G21" s="32">
        <v>4141.1000000000004</v>
      </c>
      <c r="H21" s="55">
        <f t="shared" ref="H21:H32" si="4">I21+J21+K21+L21+M21+N21+O21</f>
        <v>11347324.449999999</v>
      </c>
      <c r="I21" s="48">
        <f>ROUND(690.32*G21,2)-52953.98</f>
        <v>2805730.17</v>
      </c>
      <c r="J21" s="48">
        <f>2*2855540.15-142777.01</f>
        <v>5568303.29</v>
      </c>
      <c r="K21" s="48">
        <f>ROUND(670.73*G21,2)-51451.24</f>
        <v>2726108.76</v>
      </c>
      <c r="L21" s="48">
        <v>0</v>
      </c>
      <c r="M21" s="48">
        <v>0</v>
      </c>
      <c r="N21" s="48">
        <v>0</v>
      </c>
      <c r="O21" s="170">
        <f>104405.22+142777.01</f>
        <v>247182.23</v>
      </c>
      <c r="P21" s="48">
        <v>0</v>
      </c>
      <c r="Q21" s="48">
        <v>0</v>
      </c>
      <c r="R21" s="48">
        <v>0</v>
      </c>
      <c r="S21" s="91">
        <f t="shared" ref="S21:S32" si="5">H21</f>
        <v>11347324.449999999</v>
      </c>
      <c r="T21" s="374">
        <v>2017</v>
      </c>
      <c r="U21" s="374">
        <v>2017</v>
      </c>
      <c r="V21" s="374">
        <v>1</v>
      </c>
      <c r="W21" s="65" t="s">
        <v>142</v>
      </c>
      <c r="X21" s="374">
        <v>9</v>
      </c>
      <c r="Y21" s="65" t="s">
        <v>152</v>
      </c>
      <c r="Z21" s="65" t="s">
        <v>199</v>
      </c>
      <c r="AA21" s="222">
        <f>J21*0.025</f>
        <v>139207.58225000001</v>
      </c>
    </row>
    <row r="22" spans="1:27" s="23" customFormat="1" ht="18" customHeight="1" x14ac:dyDescent="0.25">
      <c r="A22" s="374">
        <f t="shared" si="2"/>
        <v>6</v>
      </c>
      <c r="B22" s="120" t="s">
        <v>136</v>
      </c>
      <c r="C22" s="108">
        <v>1963</v>
      </c>
      <c r="D22" s="177"/>
      <c r="E22" s="189"/>
      <c r="F22" s="32">
        <v>3419.8</v>
      </c>
      <c r="G22" s="32">
        <v>3180.4</v>
      </c>
      <c r="H22" s="55">
        <f t="shared" si="4"/>
        <v>8058306.6900000004</v>
      </c>
      <c r="I22" s="48">
        <f>ROUND(332.83*G22,2)-30811.35</f>
        <v>1027721.18</v>
      </c>
      <c r="J22" s="48">
        <v>0</v>
      </c>
      <c r="K22" s="48">
        <f>ROUND(1056.15*G22,2)-97771.86</f>
        <v>3261207.6</v>
      </c>
      <c r="L22" s="48">
        <v>0</v>
      </c>
      <c r="M22" s="48">
        <f>ROUND(1144.76*G22,2)-105974.83</f>
        <v>3534819.87</v>
      </c>
      <c r="N22" s="48">
        <v>0</v>
      </c>
      <c r="O22" s="170">
        <v>234558.04</v>
      </c>
      <c r="P22" s="48">
        <v>0</v>
      </c>
      <c r="Q22" s="48">
        <v>0</v>
      </c>
      <c r="R22" s="48">
        <v>0</v>
      </c>
      <c r="S22" s="91">
        <f t="shared" si="5"/>
        <v>8058306.6900000004</v>
      </c>
      <c r="T22" s="374">
        <v>2017</v>
      </c>
      <c r="U22" s="374">
        <v>2017</v>
      </c>
      <c r="V22" s="374">
        <f>V21+1</f>
        <v>2</v>
      </c>
      <c r="W22" s="65" t="s">
        <v>142</v>
      </c>
      <c r="X22" s="374">
        <v>5</v>
      </c>
      <c r="Y22" s="65" t="s">
        <v>152</v>
      </c>
      <c r="Z22" s="65" t="s">
        <v>198</v>
      </c>
    </row>
    <row r="23" spans="1:27" s="23" customFormat="1" ht="18" customHeight="1" x14ac:dyDescent="0.25">
      <c r="A23" s="374">
        <f t="shared" si="2"/>
        <v>7</v>
      </c>
      <c r="B23" s="120" t="s">
        <v>135</v>
      </c>
      <c r="C23" s="108">
        <v>1963</v>
      </c>
      <c r="D23" s="177"/>
      <c r="E23" s="189"/>
      <c r="F23" s="32">
        <v>2754.3</v>
      </c>
      <c r="G23" s="32">
        <v>2547.1</v>
      </c>
      <c r="H23" s="55">
        <f t="shared" si="4"/>
        <v>4360686.1399999997</v>
      </c>
      <c r="I23" s="48">
        <f>ROUND(332.83*G23,2)-31268.76</f>
        <v>816482.53</v>
      </c>
      <c r="J23" s="48">
        <v>0</v>
      </c>
      <c r="K23" s="48">
        <f>ROUND(1072.45*G23,2)-100754.67</f>
        <v>2630882.73</v>
      </c>
      <c r="L23" s="48">
        <v>0</v>
      </c>
      <c r="M23" s="48">
        <f>ROUND(306.74*G23,2)-28817.65</f>
        <v>752479.79999999993</v>
      </c>
      <c r="N23" s="48">
        <v>0</v>
      </c>
      <c r="O23" s="170">
        <v>160841.07999999999</v>
      </c>
      <c r="P23" s="48">
        <v>0</v>
      </c>
      <c r="Q23" s="48">
        <v>0</v>
      </c>
      <c r="R23" s="48">
        <v>0</v>
      </c>
      <c r="S23" s="91">
        <f t="shared" si="5"/>
        <v>4360686.1399999997</v>
      </c>
      <c r="T23" s="374">
        <v>2017</v>
      </c>
      <c r="U23" s="374">
        <v>2017</v>
      </c>
      <c r="V23" s="374">
        <f t="shared" ref="V23:V32" si="6">V22+1</f>
        <v>3</v>
      </c>
      <c r="W23" s="65" t="s">
        <v>141</v>
      </c>
      <c r="X23" s="374">
        <v>5</v>
      </c>
      <c r="Y23" s="65" t="s">
        <v>152</v>
      </c>
      <c r="Z23" s="65" t="s">
        <v>198</v>
      </c>
    </row>
    <row r="24" spans="1:27" s="23" customFormat="1" ht="18" customHeight="1" x14ac:dyDescent="0.25">
      <c r="A24" s="374">
        <f t="shared" si="2"/>
        <v>8</v>
      </c>
      <c r="B24" s="120" t="s">
        <v>458</v>
      </c>
      <c r="C24" s="108">
        <v>1961</v>
      </c>
      <c r="D24" s="177"/>
      <c r="E24" s="189"/>
      <c r="F24" s="32">
        <v>3356.2</v>
      </c>
      <c r="G24" s="32">
        <v>3118.4</v>
      </c>
      <c r="H24" s="55">
        <f t="shared" si="4"/>
        <v>6863317.7400000002</v>
      </c>
      <c r="I24" s="48">
        <v>0</v>
      </c>
      <c r="J24" s="48">
        <v>0</v>
      </c>
      <c r="K24" s="48">
        <f>ROUND(1056.15*G24,2)-121461.52</f>
        <v>3172036.64</v>
      </c>
      <c r="L24" s="48">
        <v>0</v>
      </c>
      <c r="M24" s="48">
        <f>ROUND(1144.76*G24,2)-131652.02</f>
        <v>3438167.56</v>
      </c>
      <c r="N24" s="48">
        <v>0</v>
      </c>
      <c r="O24" s="170">
        <v>253113.54</v>
      </c>
      <c r="P24" s="48">
        <v>0</v>
      </c>
      <c r="Q24" s="48">
        <v>0</v>
      </c>
      <c r="R24" s="48">
        <v>0</v>
      </c>
      <c r="S24" s="91">
        <f t="shared" si="5"/>
        <v>6863317.7400000002</v>
      </c>
      <c r="T24" s="374">
        <v>2017</v>
      </c>
      <c r="U24" s="374">
        <v>2017</v>
      </c>
      <c r="V24" s="374">
        <f t="shared" si="6"/>
        <v>4</v>
      </c>
      <c r="W24" s="65" t="s">
        <v>142</v>
      </c>
      <c r="X24" s="374">
        <v>5</v>
      </c>
      <c r="Y24" s="65"/>
      <c r="Z24" s="65"/>
    </row>
    <row r="25" spans="1:27" s="23" customFormat="1" ht="18" customHeight="1" x14ac:dyDescent="0.25">
      <c r="A25" s="374">
        <f t="shared" si="2"/>
        <v>9</v>
      </c>
      <c r="B25" s="120" t="s">
        <v>137</v>
      </c>
      <c r="C25" s="108">
        <v>1963</v>
      </c>
      <c r="D25" s="177"/>
      <c r="E25" s="189"/>
      <c r="F25" s="32">
        <v>3511.5</v>
      </c>
      <c r="G25" s="32">
        <v>3271.6</v>
      </c>
      <c r="H25" s="55">
        <f t="shared" si="4"/>
        <v>4544186.97</v>
      </c>
      <c r="I25" s="48">
        <f>ROUND(332.83*G25,2)-27964.92</f>
        <v>1060921.71</v>
      </c>
      <c r="J25" s="48">
        <v>0</v>
      </c>
      <c r="K25" s="48">
        <f>ROUND(1056.15*G25,2)-88739.44</f>
        <v>3366560.9</v>
      </c>
      <c r="L25" s="48">
        <v>0</v>
      </c>
      <c r="M25" s="48">
        <v>0</v>
      </c>
      <c r="N25" s="48">
        <v>0</v>
      </c>
      <c r="O25" s="170">
        <v>116704.36</v>
      </c>
      <c r="P25" s="48">
        <v>0</v>
      </c>
      <c r="Q25" s="48">
        <v>0</v>
      </c>
      <c r="R25" s="48">
        <v>0</v>
      </c>
      <c r="S25" s="91">
        <f t="shared" si="5"/>
        <v>4544186.97</v>
      </c>
      <c r="T25" s="374">
        <v>2017</v>
      </c>
      <c r="U25" s="374">
        <v>2017</v>
      </c>
      <c r="V25" s="374">
        <f t="shared" si="6"/>
        <v>5</v>
      </c>
      <c r="W25" s="65" t="s">
        <v>142</v>
      </c>
      <c r="X25" s="374">
        <v>5</v>
      </c>
      <c r="Y25" s="65" t="s">
        <v>152</v>
      </c>
      <c r="Z25" s="65" t="s">
        <v>198</v>
      </c>
    </row>
    <row r="26" spans="1:27" s="23" customFormat="1" ht="18" customHeight="1" x14ac:dyDescent="0.25">
      <c r="A26" s="374">
        <f t="shared" si="2"/>
        <v>10</v>
      </c>
      <c r="B26" s="120" t="s">
        <v>138</v>
      </c>
      <c r="C26" s="108">
        <v>1963</v>
      </c>
      <c r="D26" s="177"/>
      <c r="E26" s="189"/>
      <c r="F26" s="32">
        <v>2377.5</v>
      </c>
      <c r="G26" s="32">
        <v>2211.5</v>
      </c>
      <c r="H26" s="55">
        <f t="shared" si="4"/>
        <v>7303545.1000000006</v>
      </c>
      <c r="I26" s="48">
        <f>ROUND(332.83*G26,2)-16288.93</f>
        <v>719764.62</v>
      </c>
      <c r="J26" s="48">
        <v>0</v>
      </c>
      <c r="K26" s="48">
        <f>ROUND(1824.94*G26,2)-89313.85</f>
        <v>3946540.96</v>
      </c>
      <c r="L26" s="48">
        <v>0</v>
      </c>
      <c r="M26" s="48">
        <f>ROUND(1144.76*G26,2)-56025.36</f>
        <v>2475611.3800000004</v>
      </c>
      <c r="N26" s="48">
        <v>0</v>
      </c>
      <c r="O26" s="170">
        <v>161628.14000000001</v>
      </c>
      <c r="P26" s="48">
        <v>0</v>
      </c>
      <c r="Q26" s="48">
        <v>0</v>
      </c>
      <c r="R26" s="48">
        <v>0</v>
      </c>
      <c r="S26" s="91">
        <f t="shared" si="5"/>
        <v>7303545.1000000006</v>
      </c>
      <c r="T26" s="374">
        <v>2017</v>
      </c>
      <c r="U26" s="374">
        <v>2017</v>
      </c>
      <c r="V26" s="374">
        <f t="shared" si="6"/>
        <v>6</v>
      </c>
      <c r="W26" s="65" t="s">
        <v>142</v>
      </c>
      <c r="X26" s="374">
        <v>4</v>
      </c>
      <c r="Y26" s="65" t="s">
        <v>153</v>
      </c>
      <c r="Z26" s="65" t="s">
        <v>198</v>
      </c>
    </row>
    <row r="27" spans="1:27" s="23" customFormat="1" ht="18" customHeight="1" x14ac:dyDescent="0.25">
      <c r="A27" s="374">
        <f t="shared" si="2"/>
        <v>11</v>
      </c>
      <c r="B27" s="120" t="s">
        <v>139</v>
      </c>
      <c r="C27" s="108">
        <v>1961</v>
      </c>
      <c r="D27" s="177"/>
      <c r="E27" s="189"/>
      <c r="F27" s="32">
        <v>2120.4</v>
      </c>
      <c r="G27" s="32">
        <v>1978.8</v>
      </c>
      <c r="H27" s="55">
        <f t="shared" si="4"/>
        <v>6535046.3599999994</v>
      </c>
      <c r="I27" s="48">
        <f>ROUND(332.83*G27,2)-16915.17</f>
        <v>641688.82999999996</v>
      </c>
      <c r="J27" s="48">
        <v>0</v>
      </c>
      <c r="K27" s="48">
        <f>ROUND(1824.94*G27,2)-92747.57</f>
        <v>3518443.7</v>
      </c>
      <c r="L27" s="48">
        <v>0</v>
      </c>
      <c r="M27" s="48">
        <f>ROUND(1144.76*G27,2)-58179.28</f>
        <v>2207071.81</v>
      </c>
      <c r="N27" s="48">
        <v>0</v>
      </c>
      <c r="O27" s="170">
        <v>167842.02</v>
      </c>
      <c r="P27" s="48">
        <v>0</v>
      </c>
      <c r="Q27" s="48">
        <v>0</v>
      </c>
      <c r="R27" s="48">
        <v>0</v>
      </c>
      <c r="S27" s="91">
        <f t="shared" si="5"/>
        <v>6535046.3599999994</v>
      </c>
      <c r="T27" s="374">
        <v>2017</v>
      </c>
      <c r="U27" s="374">
        <v>2017</v>
      </c>
      <c r="V27" s="374">
        <f t="shared" si="6"/>
        <v>7</v>
      </c>
      <c r="W27" s="65" t="s">
        <v>142</v>
      </c>
      <c r="X27" s="374">
        <v>4</v>
      </c>
      <c r="Y27" s="65" t="s">
        <v>153</v>
      </c>
      <c r="Z27" s="65" t="s">
        <v>198</v>
      </c>
    </row>
    <row r="28" spans="1:27" s="23" customFormat="1" ht="18" customHeight="1" x14ac:dyDescent="0.25">
      <c r="A28" s="374">
        <f t="shared" si="2"/>
        <v>12</v>
      </c>
      <c r="B28" s="120" t="s">
        <v>193</v>
      </c>
      <c r="C28" s="108">
        <v>1970</v>
      </c>
      <c r="D28" s="177"/>
      <c r="E28" s="189"/>
      <c r="F28" s="32">
        <v>6283.7</v>
      </c>
      <c r="G28" s="32">
        <v>5717.8</v>
      </c>
      <c r="H28" s="55">
        <f t="shared" si="4"/>
        <v>9788987.9500000011</v>
      </c>
      <c r="I28" s="48">
        <f>ROUND(332.83*G28,2)-72056.29</f>
        <v>1830999.08</v>
      </c>
      <c r="J28" s="48">
        <v>0</v>
      </c>
      <c r="K28" s="48">
        <f>ROUND(1072.45*G28,2)-232180.88</f>
        <v>5899873.7300000004</v>
      </c>
      <c r="L28" s="48">
        <v>0</v>
      </c>
      <c r="M28" s="48">
        <f>ROUND(306.74*G28,2)-66407.91</f>
        <v>1687470.06</v>
      </c>
      <c r="N28" s="48">
        <v>0</v>
      </c>
      <c r="O28" s="170">
        <v>370645.08</v>
      </c>
      <c r="P28" s="48">
        <v>0</v>
      </c>
      <c r="Q28" s="48">
        <v>0</v>
      </c>
      <c r="R28" s="48">
        <v>0</v>
      </c>
      <c r="S28" s="91">
        <f t="shared" si="5"/>
        <v>9788987.9500000011</v>
      </c>
      <c r="T28" s="374">
        <v>2017</v>
      </c>
      <c r="U28" s="374">
        <v>2017</v>
      </c>
      <c r="V28" s="374">
        <f t="shared" si="6"/>
        <v>8</v>
      </c>
      <c r="W28" s="65" t="s">
        <v>141</v>
      </c>
      <c r="X28" s="374">
        <v>5</v>
      </c>
      <c r="Y28" s="65" t="s">
        <v>152</v>
      </c>
      <c r="Z28" s="65" t="s">
        <v>198</v>
      </c>
    </row>
    <row r="29" spans="1:27" s="23" customFormat="1" ht="18" customHeight="1" x14ac:dyDescent="0.25">
      <c r="A29" s="374">
        <f t="shared" si="2"/>
        <v>13</v>
      </c>
      <c r="B29" s="120" t="s">
        <v>197</v>
      </c>
      <c r="C29" s="108">
        <v>1992</v>
      </c>
      <c r="D29" s="177"/>
      <c r="E29" s="189"/>
      <c r="F29" s="32">
        <v>3757.1</v>
      </c>
      <c r="G29" s="32">
        <v>3296.1</v>
      </c>
      <c r="H29" s="55">
        <f t="shared" si="4"/>
        <v>7632762.8200000003</v>
      </c>
      <c r="I29" s="48">
        <f>ROUND(690.32*G29,2)-51670.28</f>
        <v>2223693.4700000002</v>
      </c>
      <c r="J29" s="48">
        <f>3037801.66-75945.04</f>
        <v>2961856.62</v>
      </c>
      <c r="K29" s="48">
        <f>ROUND(703.74*G29,2)-52674.76</f>
        <v>2266922.6500000004</v>
      </c>
      <c r="L29" s="48">
        <v>0</v>
      </c>
      <c r="M29" s="48">
        <v>0</v>
      </c>
      <c r="N29" s="48">
        <v>0</v>
      </c>
      <c r="O29" s="170">
        <f>104345.04+75945.04</f>
        <v>180290.08</v>
      </c>
      <c r="P29" s="48">
        <v>0</v>
      </c>
      <c r="Q29" s="48">
        <v>0</v>
      </c>
      <c r="R29" s="48">
        <v>0</v>
      </c>
      <c r="S29" s="91">
        <f t="shared" si="5"/>
        <v>7632762.8200000003</v>
      </c>
      <c r="T29" s="374">
        <v>2017</v>
      </c>
      <c r="U29" s="374">
        <v>2017</v>
      </c>
      <c r="V29" s="374">
        <f t="shared" si="6"/>
        <v>9</v>
      </c>
      <c r="W29" s="65" t="s">
        <v>141</v>
      </c>
      <c r="X29" s="374">
        <v>9</v>
      </c>
      <c r="Y29" s="65" t="s">
        <v>152</v>
      </c>
      <c r="Z29" s="65" t="s">
        <v>199</v>
      </c>
      <c r="AA29" s="222">
        <f>J29*0.025</f>
        <v>74046.415500000003</v>
      </c>
    </row>
    <row r="30" spans="1:27" s="23" customFormat="1" ht="18" customHeight="1" x14ac:dyDescent="0.25">
      <c r="A30" s="374">
        <f t="shared" si="2"/>
        <v>14</v>
      </c>
      <c r="B30" s="120" t="s">
        <v>194</v>
      </c>
      <c r="C30" s="108">
        <v>1969</v>
      </c>
      <c r="D30" s="177"/>
      <c r="E30" s="189"/>
      <c r="F30" s="32">
        <v>4740.3999999999996</v>
      </c>
      <c r="G30" s="32">
        <v>4336</v>
      </c>
      <c r="H30" s="55">
        <f t="shared" si="4"/>
        <v>7423318.7199999988</v>
      </c>
      <c r="I30" s="48">
        <f>ROUND(332.83*G30,2)-55460.95</f>
        <v>1387689.93</v>
      </c>
      <c r="J30" s="48">
        <v>0</v>
      </c>
      <c r="K30" s="48">
        <f>ROUND(1072.45*G30,2)-178707.12</f>
        <v>4471436.08</v>
      </c>
      <c r="L30" s="48">
        <v>0</v>
      </c>
      <c r="M30" s="48">
        <f>ROUND(306.74*G30,2)-51113.45</f>
        <v>1278911.19</v>
      </c>
      <c r="N30" s="48">
        <v>0</v>
      </c>
      <c r="O30" s="170">
        <v>285281.52</v>
      </c>
      <c r="P30" s="48">
        <v>0</v>
      </c>
      <c r="Q30" s="48">
        <v>0</v>
      </c>
      <c r="R30" s="48">
        <v>0</v>
      </c>
      <c r="S30" s="91">
        <f t="shared" si="5"/>
        <v>7423318.7199999988</v>
      </c>
      <c r="T30" s="374">
        <v>2017</v>
      </c>
      <c r="U30" s="374">
        <v>2017</v>
      </c>
      <c r="V30" s="374">
        <f t="shared" si="6"/>
        <v>10</v>
      </c>
      <c r="W30" s="65" t="s">
        <v>141</v>
      </c>
      <c r="X30" s="374">
        <v>5</v>
      </c>
      <c r="Y30" s="24" t="s">
        <v>152</v>
      </c>
      <c r="Z30" s="24" t="s">
        <v>198</v>
      </c>
    </row>
    <row r="31" spans="1:27" s="23" customFormat="1" ht="18" customHeight="1" x14ac:dyDescent="0.25">
      <c r="A31" s="374">
        <f t="shared" si="2"/>
        <v>15</v>
      </c>
      <c r="B31" s="120" t="s">
        <v>140</v>
      </c>
      <c r="C31" s="189">
        <v>1962</v>
      </c>
      <c r="D31" s="189"/>
      <c r="E31" s="189"/>
      <c r="F31" s="202">
        <v>3331.6</v>
      </c>
      <c r="G31" s="202">
        <v>3066.2</v>
      </c>
      <c r="H31" s="55">
        <f t="shared" si="4"/>
        <v>7768953.5899999989</v>
      </c>
      <c r="I31" s="48">
        <f>ROUND(332.83*G31,2)-33499.89</f>
        <v>987023.46</v>
      </c>
      <c r="J31" s="48">
        <v>0</v>
      </c>
      <c r="K31" s="48">
        <f>ROUND(1056.15*G31,2)-106303.25</f>
        <v>3132063.88</v>
      </c>
      <c r="L31" s="48">
        <v>0</v>
      </c>
      <c r="M31" s="48">
        <f>ROUND(1144.76*G31,2)-115222</f>
        <v>3394841.11</v>
      </c>
      <c r="N31" s="48">
        <v>0</v>
      </c>
      <c r="O31" s="170">
        <v>255025.14</v>
      </c>
      <c r="P31" s="48">
        <v>0</v>
      </c>
      <c r="Q31" s="48">
        <v>0</v>
      </c>
      <c r="R31" s="48">
        <v>0</v>
      </c>
      <c r="S31" s="91">
        <f t="shared" si="5"/>
        <v>7768953.5899999989</v>
      </c>
      <c r="T31" s="374">
        <v>2017</v>
      </c>
      <c r="U31" s="374">
        <v>2017</v>
      </c>
      <c r="V31" s="374">
        <f t="shared" si="6"/>
        <v>11</v>
      </c>
      <c r="W31" s="65" t="s">
        <v>142</v>
      </c>
      <c r="X31" s="374">
        <v>5</v>
      </c>
      <c r="Y31" s="203" t="s">
        <v>152</v>
      </c>
      <c r="Z31" s="203" t="s">
        <v>198</v>
      </c>
    </row>
    <row r="32" spans="1:27" s="23" customFormat="1" ht="18" customHeight="1" x14ac:dyDescent="0.25">
      <c r="A32" s="374">
        <f t="shared" si="2"/>
        <v>16</v>
      </c>
      <c r="B32" s="120" t="s">
        <v>195</v>
      </c>
      <c r="C32" s="108">
        <v>1989</v>
      </c>
      <c r="D32" s="177"/>
      <c r="E32" s="189"/>
      <c r="F32" s="58">
        <v>4434.2299999999996</v>
      </c>
      <c r="G32" s="32">
        <v>3707.3</v>
      </c>
      <c r="H32" s="55">
        <f t="shared" si="4"/>
        <v>8206000.2999999989</v>
      </c>
      <c r="I32" s="48">
        <f>ROUND(690.32*G32,2)-42287.85</f>
        <v>2516935.4899999998</v>
      </c>
      <c r="J32" s="48">
        <f>3037801.66-75945.04</f>
        <v>2961856.62</v>
      </c>
      <c r="K32" s="48">
        <f>ROUND(703.74*G32,2)-43109.93</f>
        <v>2565865.3699999996</v>
      </c>
      <c r="L32" s="48">
        <v>0</v>
      </c>
      <c r="M32" s="48">
        <v>0</v>
      </c>
      <c r="N32" s="48">
        <v>0</v>
      </c>
      <c r="O32" s="170">
        <f>85397.78+75945.04</f>
        <v>161342.82</v>
      </c>
      <c r="P32" s="48">
        <v>0</v>
      </c>
      <c r="Q32" s="48">
        <v>0</v>
      </c>
      <c r="R32" s="48">
        <v>0</v>
      </c>
      <c r="S32" s="91">
        <f t="shared" si="5"/>
        <v>8206000.2999999989</v>
      </c>
      <c r="T32" s="374">
        <v>2017</v>
      </c>
      <c r="U32" s="374">
        <v>2017</v>
      </c>
      <c r="V32" s="374">
        <f t="shared" si="6"/>
        <v>12</v>
      </c>
      <c r="W32" s="65" t="s">
        <v>141</v>
      </c>
      <c r="X32" s="374">
        <v>9</v>
      </c>
      <c r="Y32" s="65" t="s">
        <v>152</v>
      </c>
      <c r="Z32" s="65" t="s">
        <v>199</v>
      </c>
    </row>
    <row r="33" spans="1:34" ht="18" customHeight="1" x14ac:dyDescent="0.25">
      <c r="A33" s="417" t="s">
        <v>257</v>
      </c>
      <c r="B33" s="423"/>
      <c r="C33" s="372"/>
      <c r="D33" s="372"/>
      <c r="E33" s="189"/>
      <c r="F33" s="109">
        <f>SUM(F17:F32)</f>
        <v>52883.33</v>
      </c>
      <c r="G33" s="356">
        <f>SUM(G17:G32)</f>
        <v>47496</v>
      </c>
      <c r="H33" s="355">
        <f>SUM(H17:H32)</f>
        <v>110602099.64</v>
      </c>
      <c r="I33" s="355">
        <f t="shared" ref="I33:S33" si="7">SUM(I17:I32)</f>
        <v>26377746.909999993</v>
      </c>
      <c r="J33" s="355">
        <f t="shared" si="7"/>
        <v>11492016.530000001</v>
      </c>
      <c r="K33" s="355">
        <f t="shared" si="7"/>
        <v>50912401.269999996</v>
      </c>
      <c r="L33" s="355">
        <f t="shared" si="7"/>
        <v>0</v>
      </c>
      <c r="M33" s="355">
        <f t="shared" si="7"/>
        <v>19125123.710000001</v>
      </c>
      <c r="N33" s="355">
        <f t="shared" si="7"/>
        <v>100357.17</v>
      </c>
      <c r="O33" s="355">
        <f t="shared" si="7"/>
        <v>2594454.0500000003</v>
      </c>
      <c r="P33" s="355">
        <f t="shared" si="7"/>
        <v>0</v>
      </c>
      <c r="Q33" s="355">
        <f t="shared" si="7"/>
        <v>0</v>
      </c>
      <c r="R33" s="355">
        <f t="shared" si="7"/>
        <v>0</v>
      </c>
      <c r="S33" s="355">
        <f t="shared" si="7"/>
        <v>110602099.64</v>
      </c>
      <c r="T33" s="21" t="s">
        <v>112</v>
      </c>
      <c r="U33" s="21" t="s">
        <v>112</v>
      </c>
      <c r="V33" s="3"/>
      <c r="Y33" s="60">
        <f>S33-'[2]2017'!$S$29</f>
        <v>20769662.810000002</v>
      </c>
    </row>
    <row r="34" spans="1:34" ht="18" customHeight="1" x14ac:dyDescent="0.25">
      <c r="A34" s="419" t="s">
        <v>29</v>
      </c>
      <c r="B34" s="420"/>
      <c r="C34" s="452"/>
      <c r="D34" s="453"/>
      <c r="E34" s="453"/>
      <c r="F34" s="452"/>
      <c r="G34" s="452"/>
      <c r="H34" s="452"/>
      <c r="I34" s="452"/>
      <c r="J34" s="452"/>
      <c r="K34" s="452"/>
      <c r="L34" s="452"/>
      <c r="M34" s="452"/>
      <c r="N34" s="452"/>
      <c r="O34" s="452"/>
      <c r="P34" s="452"/>
      <c r="Q34" s="452"/>
      <c r="R34" s="452"/>
      <c r="S34" s="454"/>
      <c r="T34" s="27"/>
      <c r="U34" s="28"/>
      <c r="V34" s="27"/>
    </row>
    <row r="35" spans="1:34" s="111" customFormat="1" ht="18" customHeight="1" x14ac:dyDescent="0.3">
      <c r="A35" s="374">
        <f>A32+1</f>
        <v>17</v>
      </c>
      <c r="B35" s="187" t="s">
        <v>520</v>
      </c>
      <c r="C35" s="339">
        <v>1955</v>
      </c>
      <c r="D35" s="340"/>
      <c r="E35" s="340"/>
      <c r="F35" s="382">
        <v>2377.5</v>
      </c>
      <c r="G35" s="382">
        <v>2172.1</v>
      </c>
      <c r="H35" s="305">
        <f t="shared" ref="H35:H38" si="8">I35+J35+K35+L35+M35+N35+O35</f>
        <v>1916009.41</v>
      </c>
      <c r="I35" s="69">
        <v>0</v>
      </c>
      <c r="J35" s="69">
        <v>0</v>
      </c>
      <c r="K35" s="69">
        <v>0</v>
      </c>
      <c r="L35" s="69">
        <v>0</v>
      </c>
      <c r="M35" s="383">
        <v>1916009.41</v>
      </c>
      <c r="N35" s="69">
        <v>0</v>
      </c>
      <c r="O35" s="69">
        <v>0</v>
      </c>
      <c r="P35" s="69">
        <v>0</v>
      </c>
      <c r="Q35" s="69">
        <v>0</v>
      </c>
      <c r="R35" s="69">
        <v>0</v>
      </c>
      <c r="S35" s="59">
        <f t="shared" ref="S35:S38" si="9">H35</f>
        <v>1916009.41</v>
      </c>
      <c r="T35" s="374">
        <v>2016</v>
      </c>
      <c r="U35" s="374">
        <v>2017</v>
      </c>
      <c r="V35" s="381">
        <v>1</v>
      </c>
    </row>
    <row r="36" spans="1:34" s="111" customFormat="1" ht="18" customHeight="1" x14ac:dyDescent="0.3">
      <c r="A36" s="374">
        <f t="shared" ref="A36:A46" si="10">A35+1</f>
        <v>18</v>
      </c>
      <c r="B36" s="187" t="s">
        <v>521</v>
      </c>
      <c r="C36" s="339">
        <v>1953</v>
      </c>
      <c r="D36" s="340"/>
      <c r="E36" s="340"/>
      <c r="F36" s="57">
        <v>5543.5</v>
      </c>
      <c r="G36" s="57">
        <v>4717.3</v>
      </c>
      <c r="H36" s="305">
        <f t="shared" si="8"/>
        <v>11686214.460000001</v>
      </c>
      <c r="I36" s="69">
        <v>0</v>
      </c>
      <c r="J36" s="69">
        <v>0</v>
      </c>
      <c r="K36" s="383">
        <v>7525084.1299999999</v>
      </c>
      <c r="L36" s="69">
        <v>0</v>
      </c>
      <c r="M36" s="383">
        <v>4161130.33</v>
      </c>
      <c r="N36" s="69">
        <v>0</v>
      </c>
      <c r="O36" s="69">
        <v>0</v>
      </c>
      <c r="P36" s="69">
        <v>0</v>
      </c>
      <c r="Q36" s="69">
        <v>0</v>
      </c>
      <c r="R36" s="69">
        <v>0</v>
      </c>
      <c r="S36" s="59">
        <f t="shared" si="9"/>
        <v>11686214.460000001</v>
      </c>
      <c r="T36" s="374">
        <v>2016</v>
      </c>
      <c r="U36" s="374">
        <v>2017</v>
      </c>
      <c r="V36" s="381">
        <f t="shared" ref="V36:V38" si="11">V35+1</f>
        <v>2</v>
      </c>
    </row>
    <row r="37" spans="1:34" s="111" customFormat="1" ht="18" customHeight="1" x14ac:dyDescent="0.3">
      <c r="A37" s="374">
        <f t="shared" si="10"/>
        <v>19</v>
      </c>
      <c r="B37" s="187" t="s">
        <v>522</v>
      </c>
      <c r="C37" s="339">
        <v>1952</v>
      </c>
      <c r="D37" s="340"/>
      <c r="E37" s="340"/>
      <c r="F37" s="57">
        <v>2375.8000000000002</v>
      </c>
      <c r="G37" s="57">
        <v>1821.6</v>
      </c>
      <c r="H37" s="305">
        <f t="shared" si="8"/>
        <v>4512667.9000000004</v>
      </c>
      <c r="I37" s="69">
        <v>0</v>
      </c>
      <c r="J37" s="69">
        <v>0</v>
      </c>
      <c r="K37" s="383">
        <v>2905834.54</v>
      </c>
      <c r="L37" s="69">
        <v>0</v>
      </c>
      <c r="M37" s="383">
        <v>1606833.36</v>
      </c>
      <c r="N37" s="69">
        <v>0</v>
      </c>
      <c r="O37" s="69">
        <v>0</v>
      </c>
      <c r="P37" s="69">
        <v>0</v>
      </c>
      <c r="Q37" s="69">
        <v>0</v>
      </c>
      <c r="R37" s="69">
        <v>0</v>
      </c>
      <c r="S37" s="59">
        <f t="shared" si="9"/>
        <v>4512667.9000000004</v>
      </c>
      <c r="T37" s="374">
        <v>2016</v>
      </c>
      <c r="U37" s="374">
        <v>2017</v>
      </c>
      <c r="V37" s="381">
        <f t="shared" si="11"/>
        <v>3</v>
      </c>
    </row>
    <row r="38" spans="1:34" s="111" customFormat="1" ht="18" customHeight="1" x14ac:dyDescent="0.3">
      <c r="A38" s="374">
        <f t="shared" si="10"/>
        <v>20</v>
      </c>
      <c r="B38" s="384" t="s">
        <v>523</v>
      </c>
      <c r="C38" s="339">
        <v>1960</v>
      </c>
      <c r="D38" s="340"/>
      <c r="E38" s="340"/>
      <c r="F38" s="173">
        <v>2906.3</v>
      </c>
      <c r="G38" s="173">
        <v>2724</v>
      </c>
      <c r="H38" s="305">
        <f t="shared" si="8"/>
        <v>5005351.97</v>
      </c>
      <c r="I38" s="69">
        <v>0</v>
      </c>
      <c r="J38" s="69">
        <v>0</v>
      </c>
      <c r="K38" s="385">
        <v>4345352.04</v>
      </c>
      <c r="L38" s="69">
        <v>0</v>
      </c>
      <c r="M38" s="69">
        <v>0</v>
      </c>
      <c r="N38" s="69">
        <v>0</v>
      </c>
      <c r="O38" s="404">
        <v>659999.93000000005</v>
      </c>
      <c r="P38" s="69">
        <v>0</v>
      </c>
      <c r="Q38" s="69">
        <v>0</v>
      </c>
      <c r="R38" s="69">
        <v>0</v>
      </c>
      <c r="S38" s="59">
        <f t="shared" si="9"/>
        <v>5005351.97</v>
      </c>
      <c r="T38" s="374">
        <v>2016</v>
      </c>
      <c r="U38" s="374">
        <v>2017</v>
      </c>
      <c r="V38" s="381">
        <f t="shared" si="11"/>
        <v>4</v>
      </c>
      <c r="W38" s="455" t="s">
        <v>619</v>
      </c>
      <c r="X38" s="456"/>
      <c r="Y38" s="456"/>
      <c r="Z38" s="456"/>
      <c r="AA38" s="456"/>
      <c r="AB38" s="456"/>
      <c r="AC38" s="456"/>
      <c r="AD38" s="456"/>
      <c r="AE38" s="456"/>
      <c r="AF38" s="456"/>
      <c r="AG38" s="456"/>
      <c r="AH38" s="457"/>
    </row>
    <row r="39" spans="1:34" s="23" customFormat="1" ht="18" customHeight="1" x14ac:dyDescent="0.3">
      <c r="A39" s="374">
        <f t="shared" si="10"/>
        <v>21</v>
      </c>
      <c r="B39" s="185" t="s">
        <v>148</v>
      </c>
      <c r="C39" s="144">
        <v>1954</v>
      </c>
      <c r="D39" s="204"/>
      <c r="E39" s="283"/>
      <c r="F39" s="115">
        <v>2444.6</v>
      </c>
      <c r="G39" s="115">
        <v>2070.1</v>
      </c>
      <c r="H39" s="49">
        <f t="shared" ref="H39:H46" si="12">I39+J39+K39+L39+M39+N39+O39</f>
        <v>3777808.29</v>
      </c>
      <c r="I39" s="48">
        <v>0</v>
      </c>
      <c r="J39" s="48">
        <v>0</v>
      </c>
      <c r="K39" s="48">
        <f>ROUND(1824.94*G39,2)-O39</f>
        <v>3777808.29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59">
        <f t="shared" ref="S39:S46" si="13">H39</f>
        <v>3777808.29</v>
      </c>
      <c r="T39" s="374">
        <v>2017</v>
      </c>
      <c r="U39" s="374">
        <v>2017</v>
      </c>
      <c r="V39" s="374">
        <v>1</v>
      </c>
      <c r="W39" s="145" t="s">
        <v>142</v>
      </c>
      <c r="X39" s="144">
        <v>4</v>
      </c>
    </row>
    <row r="40" spans="1:34" s="23" customFormat="1" ht="18" customHeight="1" x14ac:dyDescent="0.3">
      <c r="A40" s="374">
        <f t="shared" si="10"/>
        <v>22</v>
      </c>
      <c r="B40" s="185" t="s">
        <v>146</v>
      </c>
      <c r="C40" s="144">
        <v>1961</v>
      </c>
      <c r="D40" s="206"/>
      <c r="E40" s="189"/>
      <c r="F40" s="113">
        <v>1700.8</v>
      </c>
      <c r="G40" s="113">
        <v>1577</v>
      </c>
      <c r="H40" s="49">
        <f t="shared" si="12"/>
        <v>1665548.55</v>
      </c>
      <c r="I40" s="48">
        <v>0</v>
      </c>
      <c r="J40" s="48">
        <v>0</v>
      </c>
      <c r="K40" s="48">
        <f>ROUND(1056.15*G40,2)-O40</f>
        <v>1665548.55</v>
      </c>
      <c r="L40" s="48">
        <v>0</v>
      </c>
      <c r="M40" s="170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59">
        <f t="shared" si="13"/>
        <v>1665548.55</v>
      </c>
      <c r="T40" s="374">
        <v>2017</v>
      </c>
      <c r="U40" s="374">
        <v>2017</v>
      </c>
      <c r="V40" s="374">
        <f>V39+1</f>
        <v>2</v>
      </c>
      <c r="W40" s="145" t="s">
        <v>142</v>
      </c>
      <c r="X40" s="144">
        <v>5</v>
      </c>
    </row>
    <row r="41" spans="1:34" s="23" customFormat="1" ht="18" customHeight="1" x14ac:dyDescent="0.3">
      <c r="A41" s="374">
        <f t="shared" si="10"/>
        <v>23</v>
      </c>
      <c r="B41" s="185" t="s">
        <v>61</v>
      </c>
      <c r="C41" s="144">
        <v>1949</v>
      </c>
      <c r="D41" s="207"/>
      <c r="E41" s="208"/>
      <c r="F41" s="284">
        <v>7532.3</v>
      </c>
      <c r="G41" s="284">
        <v>5486.8</v>
      </c>
      <c r="H41" s="49">
        <f t="shared" si="12"/>
        <v>10013080.789999999</v>
      </c>
      <c r="I41" s="48">
        <v>0</v>
      </c>
      <c r="J41" s="48">
        <v>0</v>
      </c>
      <c r="K41" s="48">
        <f>ROUND(1824.94*G41,2)-O41</f>
        <v>10013080.789999999</v>
      </c>
      <c r="L41" s="48">
        <v>0</v>
      </c>
      <c r="M41" s="170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59">
        <f t="shared" si="13"/>
        <v>10013080.789999999</v>
      </c>
      <c r="T41" s="374">
        <v>2017</v>
      </c>
      <c r="U41" s="374">
        <v>2017</v>
      </c>
      <c r="V41" s="374">
        <f t="shared" ref="V41:V46" si="14">V40+1</f>
        <v>3</v>
      </c>
      <c r="W41" s="145" t="s">
        <v>142</v>
      </c>
      <c r="X41" s="144">
        <v>5</v>
      </c>
    </row>
    <row r="42" spans="1:34" s="23" customFormat="1" ht="18" customHeight="1" x14ac:dyDescent="0.3">
      <c r="A42" s="374">
        <f t="shared" si="10"/>
        <v>24</v>
      </c>
      <c r="B42" s="187" t="s">
        <v>479</v>
      </c>
      <c r="C42" s="339">
        <v>1960</v>
      </c>
      <c r="D42" s="340"/>
      <c r="E42" s="144"/>
      <c r="F42" s="57">
        <v>4286.7</v>
      </c>
      <c r="G42" s="57">
        <v>3981.2</v>
      </c>
      <c r="H42" s="49">
        <f t="shared" si="12"/>
        <v>17040378.050000001</v>
      </c>
      <c r="I42" s="383">
        <v>8026514.3399999999</v>
      </c>
      <c r="J42" s="48">
        <v>0</v>
      </c>
      <c r="K42" s="383">
        <f>3627568.35+1887400</f>
        <v>5514968.3499999996</v>
      </c>
      <c r="L42" s="48">
        <v>0</v>
      </c>
      <c r="M42" s="383">
        <v>3498895.3599999999</v>
      </c>
      <c r="N42" s="69">
        <v>0</v>
      </c>
      <c r="O42" s="69">
        <v>0</v>
      </c>
      <c r="P42" s="48">
        <v>0</v>
      </c>
      <c r="Q42" s="48">
        <v>0</v>
      </c>
      <c r="R42" s="69">
        <v>0</v>
      </c>
      <c r="S42" s="59">
        <f t="shared" ref="S42" si="15">H42</f>
        <v>17040378.050000001</v>
      </c>
      <c r="T42" s="374">
        <v>2016</v>
      </c>
      <c r="U42" s="374">
        <v>2017</v>
      </c>
      <c r="V42" s="374">
        <f t="shared" si="14"/>
        <v>4</v>
      </c>
      <c r="W42" s="145" t="s">
        <v>142</v>
      </c>
      <c r="X42" s="144">
        <v>5</v>
      </c>
      <c r="Y42" s="341" t="s">
        <v>480</v>
      </c>
      <c r="Z42" s="374"/>
      <c r="AA42" s="374"/>
    </row>
    <row r="43" spans="1:34" s="23" customFormat="1" ht="18" customHeight="1" x14ac:dyDescent="0.3">
      <c r="A43" s="374">
        <f t="shared" si="10"/>
        <v>25</v>
      </c>
      <c r="B43" s="185" t="s">
        <v>145</v>
      </c>
      <c r="C43" s="144">
        <v>1959</v>
      </c>
      <c r="D43" s="207"/>
      <c r="E43" s="267"/>
      <c r="F43" s="114">
        <v>3434.8</v>
      </c>
      <c r="G43" s="114">
        <v>2659.6</v>
      </c>
      <c r="H43" s="49">
        <f t="shared" si="12"/>
        <v>1638132</v>
      </c>
      <c r="I43" s="48">
        <v>0</v>
      </c>
      <c r="J43" s="48">
        <v>0</v>
      </c>
      <c r="K43" s="48">
        <f>1638132-O43</f>
        <v>1638132</v>
      </c>
      <c r="L43" s="48">
        <v>0</v>
      </c>
      <c r="M43" s="170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59">
        <f t="shared" si="13"/>
        <v>1638132</v>
      </c>
      <c r="T43" s="374">
        <v>2017</v>
      </c>
      <c r="U43" s="374">
        <v>2017</v>
      </c>
      <c r="V43" s="374">
        <f t="shared" si="14"/>
        <v>5</v>
      </c>
      <c r="W43" s="205" t="s">
        <v>144</v>
      </c>
      <c r="X43" s="144">
        <v>4</v>
      </c>
    </row>
    <row r="44" spans="1:34" s="23" customFormat="1" ht="18" customHeight="1" x14ac:dyDescent="0.3">
      <c r="A44" s="374">
        <f t="shared" si="10"/>
        <v>26</v>
      </c>
      <c r="B44" s="185" t="s">
        <v>147</v>
      </c>
      <c r="C44" s="144">
        <v>1965</v>
      </c>
      <c r="D44" s="207"/>
      <c r="E44" s="208"/>
      <c r="F44" s="209">
        <v>1867.7</v>
      </c>
      <c r="G44" s="209">
        <v>1536.8</v>
      </c>
      <c r="H44" s="49">
        <f t="shared" si="12"/>
        <v>2804567.79</v>
      </c>
      <c r="I44" s="48">
        <v>0</v>
      </c>
      <c r="J44" s="48">
        <v>0</v>
      </c>
      <c r="K44" s="48">
        <f>ROUND(1824.94*G44,2)-O44</f>
        <v>2804567.79</v>
      </c>
      <c r="L44" s="48">
        <v>0</v>
      </c>
      <c r="M44" s="170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59">
        <f t="shared" si="13"/>
        <v>2804567.79</v>
      </c>
      <c r="T44" s="374">
        <v>2017</v>
      </c>
      <c r="U44" s="374">
        <v>2017</v>
      </c>
      <c r="V44" s="374">
        <f t="shared" si="14"/>
        <v>6</v>
      </c>
      <c r="W44" s="145" t="s">
        <v>142</v>
      </c>
      <c r="X44" s="144">
        <v>4</v>
      </c>
    </row>
    <row r="45" spans="1:34" s="23" customFormat="1" ht="18" customHeight="1" x14ac:dyDescent="0.3">
      <c r="A45" s="374">
        <f t="shared" si="10"/>
        <v>27</v>
      </c>
      <c r="B45" s="185" t="s">
        <v>149</v>
      </c>
      <c r="C45" s="144">
        <v>1987</v>
      </c>
      <c r="D45" s="210"/>
      <c r="E45" s="211" t="s">
        <v>464</v>
      </c>
      <c r="F45" s="285">
        <v>2291.6999999999998</v>
      </c>
      <c r="G45" s="285">
        <v>1921.5</v>
      </c>
      <c r="H45" s="49">
        <f t="shared" si="12"/>
        <v>2855540.15</v>
      </c>
      <c r="I45" s="48">
        <v>0</v>
      </c>
      <c r="J45" s="48">
        <f>2855540.15-71388.5</f>
        <v>2784151.65</v>
      </c>
      <c r="K45" s="48">
        <v>0</v>
      </c>
      <c r="L45" s="48">
        <v>0</v>
      </c>
      <c r="M45" s="170">
        <v>0</v>
      </c>
      <c r="N45" s="48">
        <v>0</v>
      </c>
      <c r="O45" s="170">
        <v>71388.5</v>
      </c>
      <c r="P45" s="48">
        <v>0</v>
      </c>
      <c r="Q45" s="48">
        <v>0</v>
      </c>
      <c r="R45" s="48">
        <v>0</v>
      </c>
      <c r="S45" s="59">
        <f t="shared" si="13"/>
        <v>2855540.15</v>
      </c>
      <c r="T45" s="374">
        <v>2017</v>
      </c>
      <c r="U45" s="374">
        <v>2017</v>
      </c>
      <c r="V45" s="374">
        <f t="shared" si="14"/>
        <v>7</v>
      </c>
      <c r="W45" s="145" t="s">
        <v>142</v>
      </c>
      <c r="X45" s="144">
        <v>9</v>
      </c>
      <c r="AA45" s="222">
        <f>J45*0.025</f>
        <v>69603.791249999995</v>
      </c>
    </row>
    <row r="46" spans="1:34" s="23" customFormat="1" ht="18" customHeight="1" x14ac:dyDescent="0.3">
      <c r="A46" s="374">
        <f t="shared" si="10"/>
        <v>28</v>
      </c>
      <c r="B46" s="185" t="s">
        <v>41</v>
      </c>
      <c r="C46" s="144">
        <v>1963</v>
      </c>
      <c r="D46" s="207"/>
      <c r="E46" s="208"/>
      <c r="F46" s="209">
        <v>3178.4</v>
      </c>
      <c r="G46" s="209">
        <v>2998.4</v>
      </c>
      <c r="H46" s="49">
        <f t="shared" si="12"/>
        <v>10285021.719999999</v>
      </c>
      <c r="I46" s="48">
        <f>ROUND(690.2*G46,2)-O46</f>
        <v>2036043.8599999999</v>
      </c>
      <c r="J46" s="48">
        <v>0</v>
      </c>
      <c r="K46" s="385">
        <v>4783077.66</v>
      </c>
      <c r="L46" s="48">
        <v>0</v>
      </c>
      <c r="M46" s="385">
        <f>ROUND(1144.76*G46,2)</f>
        <v>3432448.38</v>
      </c>
      <c r="N46" s="48">
        <v>0</v>
      </c>
      <c r="O46" s="48">
        <v>33451.82</v>
      </c>
      <c r="P46" s="48">
        <v>0</v>
      </c>
      <c r="Q46" s="48">
        <v>0</v>
      </c>
      <c r="R46" s="48">
        <v>0</v>
      </c>
      <c r="S46" s="59">
        <f t="shared" si="13"/>
        <v>10285021.719999999</v>
      </c>
      <c r="T46" s="374">
        <v>2016</v>
      </c>
      <c r="U46" s="374">
        <v>2017</v>
      </c>
      <c r="V46" s="374">
        <f t="shared" si="14"/>
        <v>8</v>
      </c>
      <c r="W46" s="145" t="s">
        <v>142</v>
      </c>
      <c r="X46" s="144">
        <v>5</v>
      </c>
    </row>
    <row r="47" spans="1:34" ht="18" customHeight="1" x14ac:dyDescent="0.25">
      <c r="A47" s="417" t="s">
        <v>257</v>
      </c>
      <c r="B47" s="423"/>
      <c r="C47" s="78"/>
      <c r="D47" s="195"/>
      <c r="E47" s="195"/>
      <c r="F47" s="131">
        <f>SUM(F35:F46)</f>
        <v>39940.1</v>
      </c>
      <c r="G47" s="131">
        <f t="shared" ref="G47:H47" si="16">SUM(G35:G46)</f>
        <v>33666.400000000001</v>
      </c>
      <c r="H47" s="70">
        <f t="shared" si="16"/>
        <v>73200321.079999998</v>
      </c>
      <c r="I47" s="70">
        <f t="shared" ref="I47" si="17">SUM(I35:I46)</f>
        <v>10062558.199999999</v>
      </c>
      <c r="J47" s="70">
        <f t="shared" ref="J47" si="18">SUM(J35:J46)</f>
        <v>2784151.65</v>
      </c>
      <c r="K47" s="70">
        <f t="shared" ref="K47" si="19">SUM(K35:K46)</f>
        <v>44973454.140000001</v>
      </c>
      <c r="L47" s="70">
        <f t="shared" ref="L47" si="20">SUM(L35:L46)</f>
        <v>0</v>
      </c>
      <c r="M47" s="70">
        <f t="shared" ref="M47" si="21">SUM(M35:M46)</f>
        <v>14615316.84</v>
      </c>
      <c r="N47" s="70">
        <f t="shared" ref="N47" si="22">SUM(N35:N46)</f>
        <v>0</v>
      </c>
      <c r="O47" s="70">
        <f t="shared" ref="O47" si="23">SUM(O35:O46)</f>
        <v>764840.25</v>
      </c>
      <c r="P47" s="70">
        <f t="shared" ref="P47" si="24">SUM(P35:P46)</f>
        <v>0</v>
      </c>
      <c r="Q47" s="70">
        <f t="shared" ref="Q47" si="25">SUM(Q35:Q46)</f>
        <v>0</v>
      </c>
      <c r="R47" s="70">
        <f t="shared" ref="R47" si="26">SUM(R35:R46)</f>
        <v>0</v>
      </c>
      <c r="S47" s="70">
        <f t="shared" ref="S47" si="27">SUM(S35:S46)</f>
        <v>73200321.079999998</v>
      </c>
      <c r="T47" s="21" t="s">
        <v>112</v>
      </c>
      <c r="U47" s="21" t="s">
        <v>112</v>
      </c>
      <c r="V47" s="3"/>
      <c r="Y47" s="60">
        <f>S47-'[2]2017'!$S$38</f>
        <v>47205343.290000007</v>
      </c>
    </row>
    <row r="48" spans="1:34" ht="18" customHeight="1" x14ac:dyDescent="0.25">
      <c r="A48" s="419" t="s">
        <v>128</v>
      </c>
      <c r="B48" s="420"/>
      <c r="C48" s="420"/>
      <c r="D48" s="420"/>
      <c r="E48" s="421"/>
      <c r="F48" s="420"/>
      <c r="G48" s="420"/>
      <c r="H48" s="420"/>
      <c r="I48" s="420"/>
      <c r="J48" s="420"/>
      <c r="K48" s="420"/>
      <c r="L48" s="420"/>
      <c r="M48" s="420"/>
      <c r="N48" s="420"/>
      <c r="O48" s="420"/>
      <c r="P48" s="420"/>
      <c r="Q48" s="420"/>
      <c r="R48" s="420"/>
      <c r="S48" s="422"/>
      <c r="T48" s="35"/>
      <c r="U48" s="35"/>
      <c r="V48" s="35"/>
    </row>
    <row r="49" spans="1:25" s="111" customFormat="1" ht="18" customHeight="1" x14ac:dyDescent="0.25">
      <c r="A49" s="374">
        <f>A46+1</f>
        <v>29</v>
      </c>
      <c r="B49" s="65" t="s">
        <v>524</v>
      </c>
      <c r="C49" s="352" t="s">
        <v>62</v>
      </c>
      <c r="D49" s="374"/>
      <c r="E49" s="374"/>
      <c r="F49" s="224">
        <v>1233.3</v>
      </c>
      <c r="G49" s="224">
        <f>1233.3-251.3</f>
        <v>982</v>
      </c>
      <c r="H49" s="305">
        <f>I49+J49+K49+L49+M49+N49+O49</f>
        <v>2432718.42</v>
      </c>
      <c r="I49" s="69"/>
      <c r="J49" s="69">
        <v>0</v>
      </c>
      <c r="K49" s="69">
        <f>ROUND(1595.21*G49,2)</f>
        <v>1566496.22</v>
      </c>
      <c r="L49" s="69">
        <v>0</v>
      </c>
      <c r="M49" s="69">
        <f>ROUND(882.1*G49,2)</f>
        <v>866222.2</v>
      </c>
      <c r="N49" s="69">
        <v>0</v>
      </c>
      <c r="O49" s="69">
        <v>0</v>
      </c>
      <c r="P49" s="69">
        <v>0</v>
      </c>
      <c r="Q49" s="69">
        <v>0</v>
      </c>
      <c r="R49" s="69">
        <v>0</v>
      </c>
      <c r="S49" s="305">
        <f t="shared" ref="S49:S52" si="28">H49</f>
        <v>2432718.42</v>
      </c>
      <c r="T49" s="374">
        <v>2016</v>
      </c>
      <c r="U49" s="374">
        <v>2017</v>
      </c>
      <c r="V49" s="381">
        <v>1</v>
      </c>
    </row>
    <row r="50" spans="1:25" s="351" customFormat="1" ht="18" customHeight="1" x14ac:dyDescent="0.25">
      <c r="A50" s="374">
        <f>A49+1</f>
        <v>30</v>
      </c>
      <c r="B50" s="65" t="s">
        <v>525</v>
      </c>
      <c r="C50" s="352">
        <v>1958</v>
      </c>
      <c r="D50" s="223"/>
      <c r="E50" s="223"/>
      <c r="F50" s="224">
        <v>1057.5999999999999</v>
      </c>
      <c r="G50" s="224">
        <v>874.3</v>
      </c>
      <c r="H50" s="305">
        <f>I50+J50+K50+L50+M50+N50+O50</f>
        <v>3241812.13</v>
      </c>
      <c r="I50" s="69">
        <v>1075900</v>
      </c>
      <c r="J50" s="69">
        <v>0</v>
      </c>
      <c r="K50" s="69">
        <v>1394692.1</v>
      </c>
      <c r="L50" s="69">
        <v>0</v>
      </c>
      <c r="M50" s="69">
        <v>771220.03</v>
      </c>
      <c r="N50" s="69">
        <v>0</v>
      </c>
      <c r="O50" s="69">
        <v>0</v>
      </c>
      <c r="P50" s="69">
        <v>0</v>
      </c>
      <c r="Q50" s="69">
        <v>0</v>
      </c>
      <c r="R50" s="69">
        <v>0</v>
      </c>
      <c r="S50" s="305">
        <f t="shared" si="28"/>
        <v>3241812.13</v>
      </c>
      <c r="T50" s="374">
        <v>2016</v>
      </c>
      <c r="U50" s="374">
        <v>2017</v>
      </c>
      <c r="V50" s="381">
        <f>V49+1</f>
        <v>2</v>
      </c>
    </row>
    <row r="51" spans="1:25" s="351" customFormat="1" ht="18" customHeight="1" x14ac:dyDescent="0.25">
      <c r="A51" s="374">
        <f t="shared" ref="A51:A58" si="29">A50+1</f>
        <v>31</v>
      </c>
      <c r="B51" s="65" t="s">
        <v>526</v>
      </c>
      <c r="C51" s="352">
        <v>1958</v>
      </c>
      <c r="D51" s="223"/>
      <c r="E51" s="223"/>
      <c r="F51" s="224">
        <v>660</v>
      </c>
      <c r="G51" s="224">
        <v>606.29999999999995</v>
      </c>
      <c r="H51" s="305">
        <f>I51+J51+K51+L51+M51+N51+O51</f>
        <v>2065881.38</v>
      </c>
      <c r="I51" s="69">
        <v>544020.07999999996</v>
      </c>
      <c r="J51" s="69">
        <v>0</v>
      </c>
      <c r="K51" s="69">
        <v>967175.82</v>
      </c>
      <c r="L51" s="69">
        <v>0</v>
      </c>
      <c r="M51" s="69">
        <v>534817.23</v>
      </c>
      <c r="N51" s="69">
        <v>19868.25</v>
      </c>
      <c r="O51" s="69">
        <v>0</v>
      </c>
      <c r="P51" s="69">
        <v>0</v>
      </c>
      <c r="Q51" s="69">
        <v>0</v>
      </c>
      <c r="R51" s="69">
        <v>0</v>
      </c>
      <c r="S51" s="305">
        <f t="shared" si="28"/>
        <v>2065881.38</v>
      </c>
      <c r="T51" s="374">
        <v>2016</v>
      </c>
      <c r="U51" s="374">
        <v>2017</v>
      </c>
      <c r="V51" s="381">
        <f t="shared" ref="V51:V52" si="30">V50+1</f>
        <v>3</v>
      </c>
    </row>
    <row r="52" spans="1:25" s="351" customFormat="1" ht="18" customHeight="1" x14ac:dyDescent="0.25">
      <c r="A52" s="374">
        <f t="shared" si="29"/>
        <v>32</v>
      </c>
      <c r="B52" s="65" t="s">
        <v>527</v>
      </c>
      <c r="C52" s="352" t="s">
        <v>19</v>
      </c>
      <c r="D52" s="374"/>
      <c r="E52" s="374"/>
      <c r="F52" s="224">
        <v>792.8</v>
      </c>
      <c r="G52" s="224">
        <v>728.4</v>
      </c>
      <c r="H52" s="305">
        <f>I52+J52+K52+L52+M52+N52+O52</f>
        <v>2454072.6</v>
      </c>
      <c r="I52" s="69">
        <v>649600</v>
      </c>
      <c r="J52" s="69">
        <v>0</v>
      </c>
      <c r="K52" s="69">
        <v>1161950.96</v>
      </c>
      <c r="L52" s="69">
        <v>0</v>
      </c>
      <c r="M52" s="69">
        <v>642521.64</v>
      </c>
      <c r="N52" s="69">
        <v>0</v>
      </c>
      <c r="O52" s="69">
        <v>0</v>
      </c>
      <c r="P52" s="69">
        <v>0</v>
      </c>
      <c r="Q52" s="69">
        <v>0</v>
      </c>
      <c r="R52" s="69">
        <v>0</v>
      </c>
      <c r="S52" s="305">
        <f t="shared" si="28"/>
        <v>2454072.6</v>
      </c>
      <c r="T52" s="374">
        <v>2016</v>
      </c>
      <c r="U52" s="374">
        <v>2017</v>
      </c>
      <c r="V52" s="381">
        <f t="shared" si="30"/>
        <v>4</v>
      </c>
    </row>
    <row r="53" spans="1:25" ht="18" customHeight="1" x14ac:dyDescent="0.3">
      <c r="A53" s="374">
        <f t="shared" si="29"/>
        <v>33</v>
      </c>
      <c r="B53" s="47" t="s">
        <v>132</v>
      </c>
      <c r="C53" s="46" t="s">
        <v>62</v>
      </c>
      <c r="D53" s="46"/>
      <c r="E53" s="176"/>
      <c r="F53" s="61">
        <v>1267</v>
      </c>
      <c r="G53" s="61">
        <v>1232.5</v>
      </c>
      <c r="H53" s="49">
        <f t="shared" ref="H53:H58" si="31">I53+J53+K53+L53+M53+N53+O53</f>
        <v>1410916.7</v>
      </c>
      <c r="I53" s="48">
        <v>0</v>
      </c>
      <c r="J53" s="48">
        <v>0</v>
      </c>
      <c r="K53" s="48">
        <v>0</v>
      </c>
      <c r="L53" s="48">
        <v>0</v>
      </c>
      <c r="M53" s="48">
        <f>ROUND(1144.76*G53,2)-O53</f>
        <v>1326261.7</v>
      </c>
      <c r="N53" s="48">
        <v>0</v>
      </c>
      <c r="O53" s="48">
        <v>84655</v>
      </c>
      <c r="P53" s="48">
        <v>0</v>
      </c>
      <c r="Q53" s="48">
        <v>0</v>
      </c>
      <c r="R53" s="48">
        <v>0</v>
      </c>
      <c r="S53" s="91">
        <f t="shared" ref="S53:S58" si="32">H53</f>
        <v>1410916.7</v>
      </c>
      <c r="T53" s="374">
        <v>2017</v>
      </c>
      <c r="U53" s="374">
        <v>2017</v>
      </c>
      <c r="V53" s="374">
        <v>1</v>
      </c>
      <c r="W53" s="145" t="s">
        <v>142</v>
      </c>
      <c r="X53" s="144">
        <v>4</v>
      </c>
    </row>
    <row r="54" spans="1:25" ht="18" customHeight="1" x14ac:dyDescent="0.3">
      <c r="A54" s="374">
        <f t="shared" si="29"/>
        <v>34</v>
      </c>
      <c r="B54" s="47" t="s">
        <v>131</v>
      </c>
      <c r="C54" s="36">
        <v>1963</v>
      </c>
      <c r="D54" s="36"/>
      <c r="E54" s="191"/>
      <c r="F54" s="61">
        <v>2711.4</v>
      </c>
      <c r="G54" s="61">
        <v>2513.6</v>
      </c>
      <c r="H54" s="49">
        <f t="shared" si="31"/>
        <v>4587169.18</v>
      </c>
      <c r="I54" s="48">
        <v>0</v>
      </c>
      <c r="J54" s="48">
        <v>0</v>
      </c>
      <c r="K54" s="48">
        <f>ROUND(1824.94*G54,2)-O54</f>
        <v>4498173.58</v>
      </c>
      <c r="L54" s="48">
        <v>0</v>
      </c>
      <c r="M54" s="48">
        <v>0</v>
      </c>
      <c r="N54" s="48">
        <v>0</v>
      </c>
      <c r="O54" s="48">
        <v>88995.6</v>
      </c>
      <c r="P54" s="48">
        <v>0</v>
      </c>
      <c r="Q54" s="48">
        <v>0</v>
      </c>
      <c r="R54" s="48">
        <v>0</v>
      </c>
      <c r="S54" s="91">
        <f t="shared" si="32"/>
        <v>4587169.18</v>
      </c>
      <c r="T54" s="374">
        <v>2017</v>
      </c>
      <c r="U54" s="374">
        <v>2017</v>
      </c>
      <c r="V54" s="374">
        <f>V53+1</f>
        <v>2</v>
      </c>
      <c r="W54" s="145" t="s">
        <v>142</v>
      </c>
      <c r="X54" s="144">
        <v>4</v>
      </c>
    </row>
    <row r="55" spans="1:25" ht="18" customHeight="1" x14ac:dyDescent="0.3">
      <c r="A55" s="374">
        <f t="shared" si="29"/>
        <v>35</v>
      </c>
      <c r="B55" s="47" t="s">
        <v>129</v>
      </c>
      <c r="C55" s="46" t="s">
        <v>53</v>
      </c>
      <c r="D55" s="46"/>
      <c r="E55" s="176"/>
      <c r="F55" s="61">
        <v>422.5</v>
      </c>
      <c r="G55" s="61">
        <v>380.7</v>
      </c>
      <c r="H55" s="49">
        <f t="shared" si="31"/>
        <v>512715.34</v>
      </c>
      <c r="I55" s="48">
        <v>0</v>
      </c>
      <c r="J55" s="48">
        <v>0</v>
      </c>
      <c r="K55" s="48">
        <v>0</v>
      </c>
      <c r="L55" s="48">
        <v>0</v>
      </c>
      <c r="M55" s="48">
        <f>ROUND(1346.77*G55,2)-O55</f>
        <v>481952.42000000004</v>
      </c>
      <c r="N55" s="48">
        <v>0</v>
      </c>
      <c r="O55" s="48">
        <v>30762.92</v>
      </c>
      <c r="P55" s="48">
        <v>0</v>
      </c>
      <c r="Q55" s="48">
        <v>0</v>
      </c>
      <c r="R55" s="48">
        <v>0</v>
      </c>
      <c r="S55" s="91">
        <f t="shared" si="32"/>
        <v>512715.34</v>
      </c>
      <c r="T55" s="374">
        <v>2017</v>
      </c>
      <c r="U55" s="374">
        <v>2017</v>
      </c>
      <c r="V55" s="374">
        <f t="shared" ref="V55:V58" si="33">V54+1</f>
        <v>3</v>
      </c>
      <c r="W55" s="145" t="s">
        <v>142</v>
      </c>
      <c r="X55" s="144">
        <v>2</v>
      </c>
    </row>
    <row r="56" spans="1:25" ht="18" customHeight="1" x14ac:dyDescent="0.3">
      <c r="A56" s="374">
        <f t="shared" si="29"/>
        <v>36</v>
      </c>
      <c r="B56" s="47" t="s">
        <v>130</v>
      </c>
      <c r="C56" s="36">
        <v>1958</v>
      </c>
      <c r="D56" s="36"/>
      <c r="E56" s="191"/>
      <c r="F56" s="61">
        <v>1312.9</v>
      </c>
      <c r="G56" s="61">
        <v>1298.3</v>
      </c>
      <c r="H56" s="49">
        <f t="shared" si="31"/>
        <v>1486241.91</v>
      </c>
      <c r="I56" s="48">
        <v>0</v>
      </c>
      <c r="J56" s="48">
        <v>0</v>
      </c>
      <c r="K56" s="48">
        <v>0</v>
      </c>
      <c r="L56" s="48">
        <v>0</v>
      </c>
      <c r="M56" s="48">
        <f>ROUND(1144.76*G56,2)-O56</f>
        <v>1397338.3499999999</v>
      </c>
      <c r="N56" s="48">
        <v>0</v>
      </c>
      <c r="O56" s="48">
        <v>88903.56</v>
      </c>
      <c r="P56" s="48">
        <v>0</v>
      </c>
      <c r="Q56" s="48">
        <v>0</v>
      </c>
      <c r="R56" s="48">
        <v>0</v>
      </c>
      <c r="S56" s="91">
        <f t="shared" si="32"/>
        <v>1486241.91</v>
      </c>
      <c r="T56" s="374">
        <v>2017</v>
      </c>
      <c r="U56" s="374">
        <v>2017</v>
      </c>
      <c r="V56" s="374">
        <f t="shared" si="33"/>
        <v>4</v>
      </c>
      <c r="W56" s="145" t="s">
        <v>142</v>
      </c>
      <c r="X56" s="144">
        <v>3</v>
      </c>
    </row>
    <row r="57" spans="1:25" ht="18" customHeight="1" x14ac:dyDescent="0.3">
      <c r="A57" s="374">
        <f t="shared" si="29"/>
        <v>37</v>
      </c>
      <c r="B57" s="47" t="s">
        <v>133</v>
      </c>
      <c r="C57" s="46" t="s">
        <v>19</v>
      </c>
      <c r="D57" s="46"/>
      <c r="E57" s="176"/>
      <c r="F57" s="61">
        <v>1568</v>
      </c>
      <c r="G57" s="61">
        <v>1344.4</v>
      </c>
      <c r="H57" s="49">
        <f t="shared" si="31"/>
        <v>1539015.34</v>
      </c>
      <c r="I57" s="48">
        <v>0</v>
      </c>
      <c r="J57" s="48">
        <v>0</v>
      </c>
      <c r="K57" s="48">
        <v>0</v>
      </c>
      <c r="L57" s="48">
        <v>0</v>
      </c>
      <c r="M57" s="48">
        <f>ROUND(1144.76*G57,2)-O57</f>
        <v>1446674.4200000002</v>
      </c>
      <c r="N57" s="48">
        <v>0</v>
      </c>
      <c r="O57" s="48">
        <v>92340.92</v>
      </c>
      <c r="P57" s="48">
        <v>0</v>
      </c>
      <c r="Q57" s="48">
        <v>0</v>
      </c>
      <c r="R57" s="48">
        <v>0</v>
      </c>
      <c r="S57" s="91">
        <f t="shared" si="32"/>
        <v>1539015.34</v>
      </c>
      <c r="T57" s="374">
        <v>2017</v>
      </c>
      <c r="U57" s="374">
        <v>2017</v>
      </c>
      <c r="V57" s="374">
        <f t="shared" si="33"/>
        <v>5</v>
      </c>
      <c r="W57" s="145" t="s">
        <v>142</v>
      </c>
      <c r="X57" s="144">
        <v>3</v>
      </c>
    </row>
    <row r="58" spans="1:25" ht="18" customHeight="1" x14ac:dyDescent="0.3">
      <c r="A58" s="374">
        <f t="shared" si="29"/>
        <v>38</v>
      </c>
      <c r="B58" s="47" t="s">
        <v>143</v>
      </c>
      <c r="C58" s="36">
        <v>1963</v>
      </c>
      <c r="D58" s="36"/>
      <c r="E58" s="191"/>
      <c r="F58" s="61">
        <v>1259.4000000000001</v>
      </c>
      <c r="G58" s="61">
        <v>1258.7</v>
      </c>
      <c r="H58" s="49">
        <f t="shared" si="31"/>
        <v>3772676.34</v>
      </c>
      <c r="I58" s="48">
        <f>ROUND((690.32+191.67+290.35)*G58,2)-36061.61</f>
        <v>1439562.75</v>
      </c>
      <c r="J58" s="48">
        <v>0</v>
      </c>
      <c r="K58" s="48">
        <f>ROUND(1824.94*G58,2)-56135.83</f>
        <v>2240916.15</v>
      </c>
      <c r="L58" s="48">
        <v>0</v>
      </c>
      <c r="M58" s="48">
        <v>0</v>
      </c>
      <c r="N58" s="48">
        <v>0</v>
      </c>
      <c r="O58" s="48">
        <v>92197.440000000002</v>
      </c>
      <c r="P58" s="48">
        <v>0</v>
      </c>
      <c r="Q58" s="48">
        <v>0</v>
      </c>
      <c r="R58" s="48">
        <v>0</v>
      </c>
      <c r="S58" s="91">
        <f t="shared" si="32"/>
        <v>3772676.34</v>
      </c>
      <c r="T58" s="374">
        <v>2017</v>
      </c>
      <c r="U58" s="374">
        <v>2017</v>
      </c>
      <c r="V58" s="374">
        <f t="shared" si="33"/>
        <v>6</v>
      </c>
      <c r="W58" s="145" t="s">
        <v>142</v>
      </c>
      <c r="X58" s="144">
        <v>4</v>
      </c>
    </row>
    <row r="59" spans="1:25" ht="18" customHeight="1" x14ac:dyDescent="0.25">
      <c r="A59" s="417" t="s">
        <v>257</v>
      </c>
      <c r="B59" s="423"/>
      <c r="C59" s="52"/>
      <c r="D59" s="52"/>
      <c r="E59" s="192"/>
      <c r="F59" s="64">
        <f>SUM(F49:F58)</f>
        <v>12284.9</v>
      </c>
      <c r="G59" s="64">
        <f t="shared" ref="G59:H59" si="34">SUM(G49:G58)</f>
        <v>11219.2</v>
      </c>
      <c r="H59" s="45">
        <f t="shared" si="34"/>
        <v>23503219.339999996</v>
      </c>
      <c r="I59" s="45">
        <f t="shared" ref="I59" si="35">SUM(I49:I58)</f>
        <v>3709082.83</v>
      </c>
      <c r="J59" s="45">
        <f t="shared" ref="J59" si="36">SUM(J49:J58)</f>
        <v>0</v>
      </c>
      <c r="K59" s="45">
        <f t="shared" ref="K59" si="37">SUM(K49:K58)</f>
        <v>11829404.83</v>
      </c>
      <c r="L59" s="45">
        <f t="shared" ref="L59" si="38">SUM(L49:L58)</f>
        <v>0</v>
      </c>
      <c r="M59" s="45">
        <f t="shared" ref="M59" si="39">SUM(M49:M58)</f>
        <v>7467007.9899999993</v>
      </c>
      <c r="N59" s="45">
        <f t="shared" ref="N59" si="40">SUM(N49:N58)</f>
        <v>19868.25</v>
      </c>
      <c r="O59" s="45">
        <f t="shared" ref="O59" si="41">SUM(O49:O58)</f>
        <v>477855.44</v>
      </c>
      <c r="P59" s="45">
        <f t="shared" ref="P59" si="42">SUM(P49:P58)</f>
        <v>0</v>
      </c>
      <c r="Q59" s="45">
        <f t="shared" ref="Q59" si="43">SUM(Q49:Q58)</f>
        <v>0</v>
      </c>
      <c r="R59" s="45">
        <f t="shared" ref="R59" si="44">SUM(R49:R58)</f>
        <v>0</v>
      </c>
      <c r="S59" s="45">
        <f t="shared" ref="S59" si="45">SUM(S49:S58)</f>
        <v>23503219.339999996</v>
      </c>
      <c r="T59" s="21" t="s">
        <v>112</v>
      </c>
      <c r="U59" s="21" t="s">
        <v>112</v>
      </c>
      <c r="V59" s="3"/>
      <c r="Y59" s="60">
        <f>S59-'[2]2017'!$S$46</f>
        <v>10194484.529999996</v>
      </c>
    </row>
    <row r="60" spans="1:25" ht="18" customHeight="1" x14ac:dyDescent="0.25">
      <c r="A60" s="446" t="s">
        <v>28</v>
      </c>
      <c r="B60" s="447"/>
      <c r="C60" s="447"/>
      <c r="D60" s="447"/>
      <c r="E60" s="447"/>
      <c r="F60" s="447"/>
      <c r="G60" s="447"/>
      <c r="H60" s="447"/>
      <c r="I60" s="447"/>
      <c r="J60" s="447"/>
      <c r="K60" s="447"/>
      <c r="L60" s="447"/>
      <c r="M60" s="447"/>
      <c r="N60" s="447"/>
      <c r="O60" s="447"/>
      <c r="P60" s="447"/>
      <c r="Q60" s="447"/>
      <c r="R60" s="447"/>
      <c r="S60" s="448"/>
      <c r="T60" s="27"/>
      <c r="U60" s="28"/>
      <c r="V60" s="27"/>
    </row>
    <row r="61" spans="1:25" s="111" customFormat="1" ht="18" customHeight="1" x14ac:dyDescent="0.25">
      <c r="A61" s="374">
        <f>A58+1</f>
        <v>39</v>
      </c>
      <c r="B61" s="65" t="s">
        <v>528</v>
      </c>
      <c r="C61" s="352">
        <v>1960</v>
      </c>
      <c r="D61" s="374"/>
      <c r="E61" s="374"/>
      <c r="F61" s="224">
        <v>3905.5</v>
      </c>
      <c r="G61" s="224">
        <v>3141.7000000000003</v>
      </c>
      <c r="H61" s="305">
        <f t="shared" ref="H61:H72" si="46">I61+J61+K61+L61+M61+N61+O61</f>
        <v>3111822.43</v>
      </c>
      <c r="I61" s="69">
        <f>3111822.43-O61</f>
        <v>3011822.43</v>
      </c>
      <c r="J61" s="69">
        <v>0</v>
      </c>
      <c r="K61" s="69">
        <v>0</v>
      </c>
      <c r="L61" s="69">
        <v>0</v>
      </c>
      <c r="M61" s="69">
        <v>0</v>
      </c>
      <c r="N61" s="69">
        <v>0</v>
      </c>
      <c r="O61" s="69">
        <v>100000</v>
      </c>
      <c r="P61" s="69">
        <v>0</v>
      </c>
      <c r="Q61" s="69">
        <v>0</v>
      </c>
      <c r="R61" s="69">
        <v>0</v>
      </c>
      <c r="S61" s="305">
        <f t="shared" ref="S61:S65" si="47">H61</f>
        <v>3111822.43</v>
      </c>
      <c r="T61" s="374">
        <v>2016</v>
      </c>
      <c r="U61" s="374">
        <v>2017</v>
      </c>
      <c r="V61" s="381">
        <v>1</v>
      </c>
    </row>
    <row r="62" spans="1:25" s="111" customFormat="1" ht="18" customHeight="1" x14ac:dyDescent="0.25">
      <c r="A62" s="374">
        <f t="shared" ref="A62:A85" si="48">A61+1</f>
        <v>40</v>
      </c>
      <c r="B62" s="29" t="s">
        <v>529</v>
      </c>
      <c r="C62" s="352">
        <v>1948</v>
      </c>
      <c r="D62" s="374"/>
      <c r="E62" s="374"/>
      <c r="F62" s="32">
        <v>2830.3</v>
      </c>
      <c r="G62" s="32">
        <v>2495.3000000000002</v>
      </c>
      <c r="H62" s="305">
        <f t="shared" si="46"/>
        <v>4604142.9700000007</v>
      </c>
      <c r="I62" s="69">
        <v>0</v>
      </c>
      <c r="J62" s="69">
        <v>0</v>
      </c>
      <c r="K62" s="305">
        <f>G62*1724.9</f>
        <v>4304142.9700000007</v>
      </c>
      <c r="L62" s="69">
        <v>0</v>
      </c>
      <c r="M62" s="69">
        <v>0</v>
      </c>
      <c r="N62" s="69">
        <v>0</v>
      </c>
      <c r="O62" s="69">
        <v>300000</v>
      </c>
      <c r="P62" s="69">
        <v>0</v>
      </c>
      <c r="Q62" s="69">
        <v>0</v>
      </c>
      <c r="R62" s="69">
        <v>0</v>
      </c>
      <c r="S62" s="305">
        <f t="shared" si="47"/>
        <v>4604142.9700000007</v>
      </c>
      <c r="T62" s="374">
        <v>2016</v>
      </c>
      <c r="U62" s="374">
        <v>2017</v>
      </c>
      <c r="V62" s="381">
        <f t="shared" ref="V62:V72" si="49">V61+1</f>
        <v>2</v>
      </c>
    </row>
    <row r="63" spans="1:25" s="111" customFormat="1" ht="18" customHeight="1" x14ac:dyDescent="0.25">
      <c r="A63" s="374">
        <f t="shared" si="48"/>
        <v>41</v>
      </c>
      <c r="B63" s="65" t="s">
        <v>530</v>
      </c>
      <c r="C63" s="352">
        <v>1957</v>
      </c>
      <c r="D63" s="374"/>
      <c r="E63" s="374"/>
      <c r="F63" s="224">
        <v>7462.7</v>
      </c>
      <c r="G63" s="224">
        <v>5979.4</v>
      </c>
      <c r="H63" s="305">
        <f t="shared" si="46"/>
        <v>5922535.9100000001</v>
      </c>
      <c r="I63" s="69">
        <f>5922535.91-100000</f>
        <v>5822535.9100000001</v>
      </c>
      <c r="J63" s="69">
        <v>0</v>
      </c>
      <c r="K63" s="69">
        <v>0</v>
      </c>
      <c r="L63" s="69">
        <v>0</v>
      </c>
      <c r="M63" s="69">
        <v>0</v>
      </c>
      <c r="N63" s="69">
        <v>0</v>
      </c>
      <c r="O63" s="69">
        <v>100000</v>
      </c>
      <c r="P63" s="69">
        <v>0</v>
      </c>
      <c r="Q63" s="69">
        <v>0</v>
      </c>
      <c r="R63" s="69">
        <v>0</v>
      </c>
      <c r="S63" s="305">
        <f t="shared" si="47"/>
        <v>5922535.9100000001</v>
      </c>
      <c r="T63" s="374">
        <v>2016</v>
      </c>
      <c r="U63" s="374">
        <v>2017</v>
      </c>
      <c r="V63" s="381">
        <f t="shared" si="49"/>
        <v>3</v>
      </c>
    </row>
    <row r="64" spans="1:25" s="111" customFormat="1" ht="18" customHeight="1" x14ac:dyDescent="0.25">
      <c r="A64" s="374">
        <f t="shared" si="48"/>
        <v>42</v>
      </c>
      <c r="B64" s="29" t="s">
        <v>531</v>
      </c>
      <c r="C64" s="352">
        <v>1958</v>
      </c>
      <c r="D64" s="374"/>
      <c r="E64" s="374"/>
      <c r="F64" s="32">
        <v>3295.4</v>
      </c>
      <c r="G64" s="32">
        <v>2630.6000000000004</v>
      </c>
      <c r="H64" s="305">
        <f t="shared" si="46"/>
        <v>1362756.02</v>
      </c>
      <c r="I64" s="69">
        <v>1262756.02</v>
      </c>
      <c r="J64" s="69">
        <v>0</v>
      </c>
      <c r="K64" s="69">
        <v>0</v>
      </c>
      <c r="L64" s="69">
        <v>0</v>
      </c>
      <c r="M64" s="69">
        <v>0</v>
      </c>
      <c r="N64" s="69">
        <v>0</v>
      </c>
      <c r="O64" s="69">
        <v>100000</v>
      </c>
      <c r="P64" s="69">
        <v>0</v>
      </c>
      <c r="Q64" s="69">
        <v>0</v>
      </c>
      <c r="R64" s="69">
        <v>0</v>
      </c>
      <c r="S64" s="305">
        <f t="shared" si="47"/>
        <v>1362756.02</v>
      </c>
      <c r="T64" s="374">
        <v>2016</v>
      </c>
      <c r="U64" s="374">
        <v>2017</v>
      </c>
      <c r="V64" s="381">
        <f t="shared" si="49"/>
        <v>4</v>
      </c>
    </row>
    <row r="65" spans="1:24" s="111" customFormat="1" ht="18" customHeight="1" x14ac:dyDescent="0.25">
      <c r="A65" s="374">
        <f t="shared" si="48"/>
        <v>43</v>
      </c>
      <c r="B65" s="65" t="s">
        <v>532</v>
      </c>
      <c r="C65" s="352">
        <v>1965</v>
      </c>
      <c r="D65" s="374"/>
      <c r="E65" s="374"/>
      <c r="F65" s="224">
        <v>4173.3</v>
      </c>
      <c r="G65" s="224">
        <v>3205.7</v>
      </c>
      <c r="H65" s="305">
        <f t="shared" si="46"/>
        <v>6796180.1699999999</v>
      </c>
      <c r="I65" s="69">
        <f>3864439.29-57000</f>
        <v>3807439.29</v>
      </c>
      <c r="J65" s="69">
        <v>0</v>
      </c>
      <c r="K65" s="69">
        <f>ROUND(914.54*3205.7,2)-43000</f>
        <v>2888740.88</v>
      </c>
      <c r="L65" s="69">
        <v>0</v>
      </c>
      <c r="M65" s="69">
        <v>0</v>
      </c>
      <c r="N65" s="69">
        <v>0</v>
      </c>
      <c r="O65" s="69">
        <v>100000</v>
      </c>
      <c r="P65" s="69">
        <v>0</v>
      </c>
      <c r="Q65" s="69">
        <v>0</v>
      </c>
      <c r="R65" s="69">
        <v>0</v>
      </c>
      <c r="S65" s="305">
        <f t="shared" si="47"/>
        <v>6796180.1699999999</v>
      </c>
      <c r="T65" s="374">
        <v>2016</v>
      </c>
      <c r="U65" s="374">
        <v>2017</v>
      </c>
      <c r="V65" s="381">
        <f t="shared" si="49"/>
        <v>5</v>
      </c>
    </row>
    <row r="66" spans="1:24" s="111" customFormat="1" ht="18" customHeight="1" x14ac:dyDescent="0.25">
      <c r="A66" s="374">
        <f t="shared" si="48"/>
        <v>44</v>
      </c>
      <c r="B66" s="65" t="s">
        <v>533</v>
      </c>
      <c r="C66" s="352">
        <v>1970</v>
      </c>
      <c r="D66" s="374"/>
      <c r="E66" s="374"/>
      <c r="F66" s="224">
        <v>6872.3</v>
      </c>
      <c r="G66" s="224">
        <v>6281.2</v>
      </c>
      <c r="H66" s="305">
        <f t="shared" si="46"/>
        <v>11965874.440000001</v>
      </c>
      <c r="I66" s="69">
        <f>6221465.79-52000</f>
        <v>6169465.79</v>
      </c>
      <c r="J66" s="69">
        <v>0</v>
      </c>
      <c r="K66" s="69">
        <f>ROUND(914.54*6281.2,2)-48000</f>
        <v>5696408.6500000004</v>
      </c>
      <c r="L66" s="69">
        <v>0</v>
      </c>
      <c r="M66" s="69">
        <v>0</v>
      </c>
      <c r="N66" s="69">
        <v>0</v>
      </c>
      <c r="O66" s="69">
        <v>100000</v>
      </c>
      <c r="P66" s="69">
        <v>0</v>
      </c>
      <c r="Q66" s="69">
        <v>0</v>
      </c>
      <c r="R66" s="69">
        <v>0</v>
      </c>
      <c r="S66" s="305">
        <f>H66</f>
        <v>11965874.440000001</v>
      </c>
      <c r="T66" s="374">
        <v>2016</v>
      </c>
      <c r="U66" s="374">
        <v>2017</v>
      </c>
      <c r="V66" s="381">
        <f t="shared" si="49"/>
        <v>6</v>
      </c>
    </row>
    <row r="67" spans="1:24" s="111" customFormat="1" ht="18" customHeight="1" x14ac:dyDescent="0.25">
      <c r="A67" s="374">
        <f t="shared" si="48"/>
        <v>45</v>
      </c>
      <c r="B67" s="29" t="s">
        <v>534</v>
      </c>
      <c r="C67" s="352">
        <v>1958</v>
      </c>
      <c r="D67" s="374"/>
      <c r="E67" s="374"/>
      <c r="F67" s="32">
        <v>1366.6</v>
      </c>
      <c r="G67" s="32">
        <v>969.3</v>
      </c>
      <c r="H67" s="305">
        <f t="shared" si="46"/>
        <v>856899.97</v>
      </c>
      <c r="I67" s="69">
        <v>756899.97</v>
      </c>
      <c r="J67" s="69">
        <v>0</v>
      </c>
      <c r="K67" s="69">
        <v>0</v>
      </c>
      <c r="L67" s="69">
        <v>0</v>
      </c>
      <c r="M67" s="69">
        <v>0</v>
      </c>
      <c r="N67" s="69">
        <v>0</v>
      </c>
      <c r="O67" s="69">
        <v>100000</v>
      </c>
      <c r="P67" s="69">
        <v>0</v>
      </c>
      <c r="Q67" s="69">
        <v>0</v>
      </c>
      <c r="R67" s="69">
        <v>0</v>
      </c>
      <c r="S67" s="305">
        <f t="shared" ref="S67:S72" si="50">H67</f>
        <v>856899.97</v>
      </c>
      <c r="T67" s="374">
        <v>2016</v>
      </c>
      <c r="U67" s="374">
        <v>2017</v>
      </c>
      <c r="V67" s="381">
        <f t="shared" si="49"/>
        <v>7</v>
      </c>
    </row>
    <row r="68" spans="1:24" s="111" customFormat="1" ht="18" customHeight="1" x14ac:dyDescent="0.25">
      <c r="A68" s="374">
        <f t="shared" si="48"/>
        <v>46</v>
      </c>
      <c r="B68" s="65" t="s">
        <v>535</v>
      </c>
      <c r="C68" s="352">
        <v>1962</v>
      </c>
      <c r="D68" s="374"/>
      <c r="E68" s="374"/>
      <c r="F68" s="224">
        <v>4152.7</v>
      </c>
      <c r="G68" s="224">
        <v>3433.3999999999996</v>
      </c>
      <c r="H68" s="305">
        <f t="shared" si="46"/>
        <v>7278911</v>
      </c>
      <c r="I68" s="69">
        <f>4138929.36-57000</f>
        <v>4081929.36</v>
      </c>
      <c r="J68" s="69">
        <v>0</v>
      </c>
      <c r="K68" s="69">
        <f>ROUND(914.54*3433.4,2)-43000</f>
        <v>3096981.64</v>
      </c>
      <c r="L68" s="69">
        <v>0</v>
      </c>
      <c r="M68" s="69">
        <v>0</v>
      </c>
      <c r="N68" s="69">
        <v>0</v>
      </c>
      <c r="O68" s="69">
        <v>100000</v>
      </c>
      <c r="P68" s="69">
        <v>0</v>
      </c>
      <c r="Q68" s="69">
        <v>0</v>
      </c>
      <c r="R68" s="69">
        <v>0</v>
      </c>
      <c r="S68" s="305">
        <f t="shared" si="50"/>
        <v>7278911</v>
      </c>
      <c r="T68" s="374">
        <v>2016</v>
      </c>
      <c r="U68" s="374">
        <v>2017</v>
      </c>
      <c r="V68" s="381">
        <f t="shared" si="49"/>
        <v>8</v>
      </c>
    </row>
    <row r="69" spans="1:24" s="111" customFormat="1" ht="18" customHeight="1" x14ac:dyDescent="0.25">
      <c r="A69" s="374">
        <f t="shared" si="48"/>
        <v>47</v>
      </c>
      <c r="B69" s="29" t="s">
        <v>536</v>
      </c>
      <c r="C69" s="352">
        <v>1951</v>
      </c>
      <c r="D69" s="374"/>
      <c r="E69" s="374"/>
      <c r="F69" s="32">
        <v>1046.8</v>
      </c>
      <c r="G69" s="32">
        <v>677.5</v>
      </c>
      <c r="H69" s="305">
        <f t="shared" si="46"/>
        <v>816719.48</v>
      </c>
      <c r="I69" s="69">
        <v>716719.48</v>
      </c>
      <c r="J69" s="69">
        <v>0</v>
      </c>
      <c r="K69" s="69">
        <v>0</v>
      </c>
      <c r="L69" s="69">
        <v>0</v>
      </c>
      <c r="M69" s="69">
        <v>0</v>
      </c>
      <c r="N69" s="69">
        <v>0</v>
      </c>
      <c r="O69" s="69">
        <v>100000</v>
      </c>
      <c r="P69" s="69">
        <v>0</v>
      </c>
      <c r="Q69" s="69">
        <v>0</v>
      </c>
      <c r="R69" s="69">
        <v>0</v>
      </c>
      <c r="S69" s="305">
        <f t="shared" si="50"/>
        <v>816719.48</v>
      </c>
      <c r="T69" s="374">
        <v>2016</v>
      </c>
      <c r="U69" s="374">
        <v>2017</v>
      </c>
      <c r="V69" s="381">
        <f t="shared" si="49"/>
        <v>9</v>
      </c>
    </row>
    <row r="70" spans="1:24" s="111" customFormat="1" ht="18" customHeight="1" x14ac:dyDescent="0.25">
      <c r="A70" s="374">
        <f t="shared" si="48"/>
        <v>48</v>
      </c>
      <c r="B70" s="29" t="s">
        <v>537</v>
      </c>
      <c r="C70" s="352">
        <v>1951</v>
      </c>
      <c r="D70" s="374"/>
      <c r="E70" s="374"/>
      <c r="F70" s="32">
        <v>1053.8</v>
      </c>
      <c r="G70" s="32">
        <v>693.4</v>
      </c>
      <c r="H70" s="305">
        <f t="shared" si="46"/>
        <v>835886.77</v>
      </c>
      <c r="I70" s="69">
        <v>735886.77</v>
      </c>
      <c r="J70" s="69">
        <v>0</v>
      </c>
      <c r="K70" s="69">
        <v>0</v>
      </c>
      <c r="L70" s="69">
        <v>0</v>
      </c>
      <c r="M70" s="69">
        <v>0</v>
      </c>
      <c r="N70" s="69">
        <v>0</v>
      </c>
      <c r="O70" s="69">
        <v>100000</v>
      </c>
      <c r="P70" s="69">
        <v>0</v>
      </c>
      <c r="Q70" s="69">
        <v>0</v>
      </c>
      <c r="R70" s="69">
        <v>0</v>
      </c>
      <c r="S70" s="305">
        <f t="shared" si="50"/>
        <v>835886.77</v>
      </c>
      <c r="T70" s="374">
        <v>2016</v>
      </c>
      <c r="U70" s="374">
        <v>2017</v>
      </c>
      <c r="V70" s="381">
        <f t="shared" si="49"/>
        <v>10</v>
      </c>
    </row>
    <row r="71" spans="1:24" s="111" customFormat="1" ht="18" customHeight="1" x14ac:dyDescent="0.25">
      <c r="A71" s="374">
        <f t="shared" si="48"/>
        <v>49</v>
      </c>
      <c r="B71" s="29" t="s">
        <v>538</v>
      </c>
      <c r="C71" s="352">
        <v>1949</v>
      </c>
      <c r="D71" s="374"/>
      <c r="E71" s="374"/>
      <c r="F71" s="32">
        <v>1046.8</v>
      </c>
      <c r="G71" s="32">
        <v>697.5</v>
      </c>
      <c r="H71" s="305">
        <f t="shared" si="46"/>
        <v>840829.28</v>
      </c>
      <c r="I71" s="69">
        <v>740829.28</v>
      </c>
      <c r="J71" s="69">
        <v>0</v>
      </c>
      <c r="K71" s="69">
        <v>0</v>
      </c>
      <c r="L71" s="69">
        <v>0</v>
      </c>
      <c r="M71" s="69">
        <v>0</v>
      </c>
      <c r="N71" s="69">
        <v>0</v>
      </c>
      <c r="O71" s="69">
        <v>100000</v>
      </c>
      <c r="P71" s="69">
        <v>0</v>
      </c>
      <c r="Q71" s="69">
        <v>0</v>
      </c>
      <c r="R71" s="69">
        <v>0</v>
      </c>
      <c r="S71" s="305">
        <f t="shared" si="50"/>
        <v>840829.28</v>
      </c>
      <c r="T71" s="374">
        <v>2016</v>
      </c>
      <c r="U71" s="374">
        <v>2017</v>
      </c>
      <c r="V71" s="381">
        <f t="shared" si="49"/>
        <v>11</v>
      </c>
    </row>
    <row r="72" spans="1:24" s="111" customFormat="1" ht="18" customHeight="1" x14ac:dyDescent="0.25">
      <c r="A72" s="374">
        <f t="shared" si="48"/>
        <v>50</v>
      </c>
      <c r="B72" s="29" t="s">
        <v>539</v>
      </c>
      <c r="C72" s="352">
        <v>1952</v>
      </c>
      <c r="D72" s="374"/>
      <c r="E72" s="374"/>
      <c r="F72" s="32">
        <v>766.7</v>
      </c>
      <c r="G72" s="32">
        <v>692.6</v>
      </c>
      <c r="H72" s="305">
        <f t="shared" si="46"/>
        <v>612286.1</v>
      </c>
      <c r="I72" s="69">
        <v>512286.1</v>
      </c>
      <c r="J72" s="69">
        <v>0</v>
      </c>
      <c r="K72" s="69">
        <v>0</v>
      </c>
      <c r="L72" s="69">
        <v>0</v>
      </c>
      <c r="M72" s="69">
        <v>0</v>
      </c>
      <c r="N72" s="69">
        <v>0</v>
      </c>
      <c r="O72" s="69">
        <v>100000</v>
      </c>
      <c r="P72" s="69">
        <v>0</v>
      </c>
      <c r="Q72" s="69">
        <v>0</v>
      </c>
      <c r="R72" s="69">
        <v>0</v>
      </c>
      <c r="S72" s="305">
        <f t="shared" si="50"/>
        <v>612286.1</v>
      </c>
      <c r="T72" s="374">
        <v>2016</v>
      </c>
      <c r="U72" s="374">
        <v>2017</v>
      </c>
      <c r="V72" s="381">
        <f t="shared" si="49"/>
        <v>12</v>
      </c>
    </row>
    <row r="73" spans="1:24" s="23" customFormat="1" ht="18" customHeight="1" x14ac:dyDescent="0.25">
      <c r="A73" s="374">
        <f t="shared" si="48"/>
        <v>51</v>
      </c>
      <c r="B73" s="65" t="s">
        <v>438</v>
      </c>
      <c r="C73" s="146">
        <v>1982</v>
      </c>
      <c r="D73" s="178"/>
      <c r="E73" s="178"/>
      <c r="F73" s="357">
        <v>8790.4</v>
      </c>
      <c r="G73" s="357">
        <v>7380.1</v>
      </c>
      <c r="H73" s="49">
        <f t="shared" ref="H73:H85" si="51">I73+J73+K73+L73+M73+N73+O73</f>
        <v>4950054.47</v>
      </c>
      <c r="I73" s="69">
        <v>0</v>
      </c>
      <c r="J73" s="48">
        <v>0</v>
      </c>
      <c r="K73" s="69">
        <f>ROUND(670.73*G73,2)-O73</f>
        <v>4820450.3499999996</v>
      </c>
      <c r="L73" s="48">
        <v>0</v>
      </c>
      <c r="M73" s="48">
        <v>0</v>
      </c>
      <c r="N73" s="48">
        <v>0</v>
      </c>
      <c r="O73" s="69">
        <v>129604.12</v>
      </c>
      <c r="P73" s="48">
        <v>0</v>
      </c>
      <c r="Q73" s="48">
        <v>0</v>
      </c>
      <c r="R73" s="48">
        <v>843533.08</v>
      </c>
      <c r="S73" s="91">
        <f>H73-R73</f>
        <v>4106521.3899999997</v>
      </c>
      <c r="T73" s="374">
        <v>2017</v>
      </c>
      <c r="U73" s="374">
        <v>2017</v>
      </c>
      <c r="V73" s="374">
        <v>1</v>
      </c>
      <c r="W73" s="213" t="s">
        <v>272</v>
      </c>
      <c r="X73" s="214">
        <v>9</v>
      </c>
    </row>
    <row r="74" spans="1:24" s="23" customFormat="1" ht="18" customHeight="1" x14ac:dyDescent="0.25">
      <c r="A74" s="374">
        <f t="shared" si="48"/>
        <v>52</v>
      </c>
      <c r="B74" s="65" t="s">
        <v>102</v>
      </c>
      <c r="C74" s="146">
        <v>1961</v>
      </c>
      <c r="D74" s="178"/>
      <c r="E74" s="178"/>
      <c r="F74" s="357">
        <v>2066.6</v>
      </c>
      <c r="G74" s="357">
        <v>1615.7</v>
      </c>
      <c r="H74" s="49">
        <f t="shared" si="51"/>
        <v>5509520.8499999996</v>
      </c>
      <c r="I74" s="212">
        <f>ROUND((191.67+727.06+290.35)*G74,2)-75381.79</f>
        <v>1878128.77</v>
      </c>
      <c r="J74" s="48">
        <v>0</v>
      </c>
      <c r="K74" s="69">
        <f>ROUND(1056.15*G74,2)-65847.15</f>
        <v>1640574.4100000001</v>
      </c>
      <c r="L74" s="48">
        <v>0</v>
      </c>
      <c r="M74" s="48">
        <f>ROUND(1144.76*G74,2)-71371.66</f>
        <v>1778217.07</v>
      </c>
      <c r="N74" s="48">
        <v>0</v>
      </c>
      <c r="O74" s="69">
        <v>212600.6</v>
      </c>
      <c r="P74" s="48">
        <v>0</v>
      </c>
      <c r="Q74" s="48">
        <v>0</v>
      </c>
      <c r="R74" s="48">
        <v>938871.09</v>
      </c>
      <c r="S74" s="91">
        <f t="shared" ref="S74:S85" si="52">H74-R74</f>
        <v>4570649.76</v>
      </c>
      <c r="T74" s="374">
        <v>2017</v>
      </c>
      <c r="U74" s="374">
        <v>2017</v>
      </c>
      <c r="V74" s="374">
        <f>V73+1</f>
        <v>2</v>
      </c>
      <c r="W74" s="34" t="s">
        <v>330</v>
      </c>
      <c r="X74" s="146">
        <v>5</v>
      </c>
    </row>
    <row r="75" spans="1:24" s="23" customFormat="1" ht="18" customHeight="1" x14ac:dyDescent="0.25">
      <c r="A75" s="374">
        <f t="shared" si="48"/>
        <v>53</v>
      </c>
      <c r="B75" s="65" t="s">
        <v>325</v>
      </c>
      <c r="C75" s="146">
        <v>1939</v>
      </c>
      <c r="D75" s="178"/>
      <c r="E75" s="178"/>
      <c r="F75" s="357">
        <v>2874.7</v>
      </c>
      <c r="G75" s="357">
        <v>2281.1999999999998</v>
      </c>
      <c r="H75" s="49">
        <f t="shared" si="51"/>
        <v>3426476.46</v>
      </c>
      <c r="I75" s="212">
        <f>ROUND((191.67+727.06+290.35+292.97)*G75,2)-O75</f>
        <v>3220887.87</v>
      </c>
      <c r="J75" s="48">
        <v>0</v>
      </c>
      <c r="K75" s="69">
        <v>0</v>
      </c>
      <c r="L75" s="48">
        <v>0</v>
      </c>
      <c r="M75" s="48">
        <v>0</v>
      </c>
      <c r="N75" s="48">
        <v>0</v>
      </c>
      <c r="O75" s="69">
        <v>205588.59</v>
      </c>
      <c r="P75" s="48">
        <v>0</v>
      </c>
      <c r="Q75" s="48">
        <v>0</v>
      </c>
      <c r="R75" s="48">
        <v>583901.9</v>
      </c>
      <c r="S75" s="91">
        <f t="shared" si="52"/>
        <v>2842574.56</v>
      </c>
      <c r="T75" s="374">
        <v>2017</v>
      </c>
      <c r="U75" s="374">
        <v>2017</v>
      </c>
      <c r="V75" s="374">
        <f t="shared" ref="V75:V85" si="53">V74+1</f>
        <v>3</v>
      </c>
      <c r="W75" s="34" t="s">
        <v>272</v>
      </c>
      <c r="X75" s="146">
        <v>4</v>
      </c>
    </row>
    <row r="76" spans="1:24" s="23" customFormat="1" ht="18" customHeight="1" x14ac:dyDescent="0.25">
      <c r="A76" s="374">
        <f t="shared" si="48"/>
        <v>54</v>
      </c>
      <c r="B76" s="65" t="s">
        <v>396</v>
      </c>
      <c r="C76" s="146">
        <v>1970</v>
      </c>
      <c r="D76" s="178"/>
      <c r="E76" s="178"/>
      <c r="F76" s="357">
        <v>5184.4000000000005</v>
      </c>
      <c r="G76" s="357">
        <v>4788.3</v>
      </c>
      <c r="H76" s="49">
        <f t="shared" si="51"/>
        <v>7192266.0199999996</v>
      </c>
      <c r="I76" s="212">
        <f>ROUND((191.67+727.06+290.35+292.97)*G76,2)-O76</f>
        <v>6760730.0599999996</v>
      </c>
      <c r="J76" s="48">
        <v>0</v>
      </c>
      <c r="K76" s="69">
        <v>0</v>
      </c>
      <c r="L76" s="48">
        <v>0</v>
      </c>
      <c r="M76" s="48">
        <v>0</v>
      </c>
      <c r="N76" s="48">
        <v>0</v>
      </c>
      <c r="O76" s="69">
        <v>431535.96</v>
      </c>
      <c r="P76" s="48">
        <v>0</v>
      </c>
      <c r="Q76" s="48">
        <v>0</v>
      </c>
      <c r="R76" s="48">
        <v>1225625.76</v>
      </c>
      <c r="S76" s="91">
        <f t="shared" si="52"/>
        <v>5966640.2599999998</v>
      </c>
      <c r="T76" s="374">
        <v>2017</v>
      </c>
      <c r="U76" s="374">
        <v>2017</v>
      </c>
      <c r="V76" s="374">
        <f t="shared" si="53"/>
        <v>4</v>
      </c>
      <c r="W76" s="34" t="s">
        <v>272</v>
      </c>
      <c r="X76" s="146">
        <v>5</v>
      </c>
    </row>
    <row r="77" spans="1:24" s="23" customFormat="1" ht="18" customHeight="1" x14ac:dyDescent="0.25">
      <c r="A77" s="374">
        <f t="shared" si="48"/>
        <v>55</v>
      </c>
      <c r="B77" s="65" t="s">
        <v>324</v>
      </c>
      <c r="C77" s="146">
        <v>1968</v>
      </c>
      <c r="D77" s="178"/>
      <c r="E77" s="178"/>
      <c r="F77" s="357">
        <v>4386.2</v>
      </c>
      <c r="G77" s="357">
        <v>3771.8</v>
      </c>
      <c r="H77" s="49">
        <f t="shared" si="51"/>
        <v>9649018.7599999998</v>
      </c>
      <c r="I77" s="212">
        <f>ROUND((191.67+727.06+290.35+292.97)*G77,2)-289044.71</f>
        <v>5376387.4800000004</v>
      </c>
      <c r="J77" s="48">
        <v>0</v>
      </c>
      <c r="K77" s="69">
        <f>ROUND(1056.15*G77,2)-203245.39</f>
        <v>3780341.1799999997</v>
      </c>
      <c r="L77" s="48">
        <v>0</v>
      </c>
      <c r="M77" s="48">
        <v>0</v>
      </c>
      <c r="N77" s="48">
        <v>0</v>
      </c>
      <c r="O77" s="69">
        <v>492290.1</v>
      </c>
      <c r="P77" s="48">
        <v>0</v>
      </c>
      <c r="Q77" s="48">
        <v>0</v>
      </c>
      <c r="R77" s="48">
        <v>1644278.16</v>
      </c>
      <c r="S77" s="91">
        <f t="shared" si="52"/>
        <v>8004740.5999999996</v>
      </c>
      <c r="T77" s="374">
        <v>2017</v>
      </c>
      <c r="U77" s="374">
        <v>2017</v>
      </c>
      <c r="V77" s="374">
        <f t="shared" si="53"/>
        <v>5</v>
      </c>
      <c r="W77" s="34" t="s">
        <v>272</v>
      </c>
      <c r="X77" s="146">
        <v>5</v>
      </c>
    </row>
    <row r="78" spans="1:24" s="23" customFormat="1" ht="18" customHeight="1" x14ac:dyDescent="0.25">
      <c r="A78" s="374">
        <f t="shared" si="48"/>
        <v>56</v>
      </c>
      <c r="B78" s="65" t="s">
        <v>395</v>
      </c>
      <c r="C78" s="146">
        <v>1968</v>
      </c>
      <c r="D78" s="178"/>
      <c r="E78" s="178"/>
      <c r="F78" s="357">
        <v>4360.6000000000004</v>
      </c>
      <c r="G78" s="357">
        <v>3372.7</v>
      </c>
      <c r="H78" s="49">
        <f t="shared" si="51"/>
        <v>11220939.180000002</v>
      </c>
      <c r="I78" s="212">
        <f>ROUND((191.67+727.06+290.35+292.97)*G78,2)-195324.14</f>
        <v>4870639.9000000004</v>
      </c>
      <c r="J78" s="48">
        <v>0</v>
      </c>
      <c r="K78" s="69">
        <f>ROUND(1824.94*G78,2)-237312.24</f>
        <v>5917662.8999999994</v>
      </c>
      <c r="L78" s="48">
        <v>0</v>
      </c>
      <c r="M78" s="48">
        <v>0</v>
      </c>
      <c r="N78" s="48">
        <v>0</v>
      </c>
      <c r="O78" s="69">
        <v>432636.38</v>
      </c>
      <c r="P78" s="48">
        <v>0</v>
      </c>
      <c r="Q78" s="48">
        <v>0</v>
      </c>
      <c r="R78" s="48">
        <v>1912147.31</v>
      </c>
      <c r="S78" s="91">
        <f t="shared" si="52"/>
        <v>9308791.870000001</v>
      </c>
      <c r="T78" s="374">
        <v>2017</v>
      </c>
      <c r="U78" s="374">
        <v>2017</v>
      </c>
      <c r="V78" s="374">
        <f t="shared" si="53"/>
        <v>6</v>
      </c>
      <c r="W78" s="34" t="s">
        <v>272</v>
      </c>
      <c r="X78" s="146">
        <v>5</v>
      </c>
    </row>
    <row r="79" spans="1:24" s="23" customFormat="1" ht="18" customHeight="1" x14ac:dyDescent="0.25">
      <c r="A79" s="374">
        <f t="shared" si="48"/>
        <v>57</v>
      </c>
      <c r="B79" s="65" t="s">
        <v>328</v>
      </c>
      <c r="C79" s="146">
        <v>1970</v>
      </c>
      <c r="D79" s="178"/>
      <c r="E79" s="178"/>
      <c r="F79" s="357">
        <v>2055</v>
      </c>
      <c r="G79" s="357">
        <v>1592.6</v>
      </c>
      <c r="H79" s="49">
        <f t="shared" si="51"/>
        <v>3607605.3000000003</v>
      </c>
      <c r="I79" s="212">
        <f>ROUND((191.67+727.06+290.35)*G79,2)-92025.19</f>
        <v>1833555.62</v>
      </c>
      <c r="J79" s="48">
        <v>0</v>
      </c>
      <c r="K79" s="69">
        <f>ROUND(1056.15*G79,2)-80383.43</f>
        <v>1601641.06</v>
      </c>
      <c r="L79" s="48">
        <v>0</v>
      </c>
      <c r="M79" s="48">
        <v>0</v>
      </c>
      <c r="N79" s="48">
        <v>0</v>
      </c>
      <c r="O79" s="69">
        <v>172408.62</v>
      </c>
      <c r="P79" s="48">
        <v>0</v>
      </c>
      <c r="Q79" s="48">
        <v>0</v>
      </c>
      <c r="R79" s="48">
        <v>614767.86</v>
      </c>
      <c r="S79" s="91">
        <f t="shared" si="52"/>
        <v>2992837.4400000004</v>
      </c>
      <c r="T79" s="374">
        <v>2017</v>
      </c>
      <c r="U79" s="374">
        <v>2017</v>
      </c>
      <c r="V79" s="374">
        <f t="shared" si="53"/>
        <v>7</v>
      </c>
      <c r="W79" s="34" t="s">
        <v>272</v>
      </c>
      <c r="X79" s="146">
        <v>5</v>
      </c>
    </row>
    <row r="80" spans="1:24" s="23" customFormat="1" ht="18" customHeight="1" x14ac:dyDescent="0.25">
      <c r="A80" s="374">
        <f t="shared" si="48"/>
        <v>58</v>
      </c>
      <c r="B80" s="65" t="s">
        <v>326</v>
      </c>
      <c r="C80" s="146">
        <v>1963</v>
      </c>
      <c r="D80" s="178"/>
      <c r="E80" s="178"/>
      <c r="F80" s="357">
        <v>2722.3</v>
      </c>
      <c r="G80" s="357">
        <v>2538.6999999999998</v>
      </c>
      <c r="H80" s="49">
        <f t="shared" si="51"/>
        <v>6494502.3499999996</v>
      </c>
      <c r="I80" s="212">
        <f>ROUND((191.67+727.06+290.35+292.97)*G80,2)-134536.73</f>
        <v>3678717.61</v>
      </c>
      <c r="J80" s="48">
        <v>0</v>
      </c>
      <c r="K80" s="69">
        <f>ROUND(1056.15*G80,2)-94598.03</f>
        <v>2586649.98</v>
      </c>
      <c r="L80" s="48">
        <v>0</v>
      </c>
      <c r="M80" s="48">
        <v>0</v>
      </c>
      <c r="N80" s="48">
        <v>0</v>
      </c>
      <c r="O80" s="69">
        <v>229134.76</v>
      </c>
      <c r="P80" s="48">
        <v>0</v>
      </c>
      <c r="Q80" s="48">
        <v>0</v>
      </c>
      <c r="R80" s="48">
        <v>1106720.6599999999</v>
      </c>
      <c r="S80" s="91">
        <f t="shared" si="52"/>
        <v>5387781.6899999995</v>
      </c>
      <c r="T80" s="374">
        <v>2017</v>
      </c>
      <c r="U80" s="374">
        <v>2017</v>
      </c>
      <c r="V80" s="374">
        <f t="shared" si="53"/>
        <v>8</v>
      </c>
      <c r="W80" s="34" t="s">
        <v>272</v>
      </c>
      <c r="X80" s="146">
        <v>5</v>
      </c>
    </row>
    <row r="81" spans="1:28" s="23" customFormat="1" ht="18" customHeight="1" x14ac:dyDescent="0.25">
      <c r="A81" s="374">
        <f t="shared" si="48"/>
        <v>59</v>
      </c>
      <c r="B81" s="65" t="s">
        <v>327</v>
      </c>
      <c r="C81" s="146">
        <v>1967</v>
      </c>
      <c r="D81" s="178"/>
      <c r="E81" s="178"/>
      <c r="F81" s="357">
        <v>4866.8</v>
      </c>
      <c r="G81" s="357">
        <v>3882.2</v>
      </c>
      <c r="H81" s="49">
        <f t="shared" si="51"/>
        <v>9931444.0399999991</v>
      </c>
      <c r="I81" s="212">
        <f>ROUND((191.67+727.06+290.35+292.97)*G81,2)-305930.38</f>
        <v>5525328.1299999999</v>
      </c>
      <c r="J81" s="48">
        <v>0</v>
      </c>
      <c r="K81" s="69">
        <f>ROUND(1056.15*G81,2)-215111.6</f>
        <v>3885073.9299999997</v>
      </c>
      <c r="L81" s="48">
        <v>0</v>
      </c>
      <c r="M81" s="48">
        <v>0</v>
      </c>
      <c r="N81" s="48">
        <v>0</v>
      </c>
      <c r="O81" s="69">
        <v>521041.98</v>
      </c>
      <c r="P81" s="48">
        <v>0</v>
      </c>
      <c r="Q81" s="48">
        <v>0</v>
      </c>
      <c r="R81" s="48">
        <v>1692405.93</v>
      </c>
      <c r="S81" s="91">
        <f t="shared" si="52"/>
        <v>8239038.1099999994</v>
      </c>
      <c r="T81" s="374">
        <v>2017</v>
      </c>
      <c r="U81" s="374">
        <v>2017</v>
      </c>
      <c r="V81" s="374">
        <f t="shared" si="53"/>
        <v>9</v>
      </c>
      <c r="W81" s="34" t="s">
        <v>272</v>
      </c>
      <c r="X81" s="146">
        <v>5</v>
      </c>
    </row>
    <row r="82" spans="1:28" s="23" customFormat="1" ht="18" customHeight="1" x14ac:dyDescent="0.25">
      <c r="A82" s="374">
        <f t="shared" si="48"/>
        <v>60</v>
      </c>
      <c r="B82" s="65" t="s">
        <v>441</v>
      </c>
      <c r="C82" s="146">
        <v>1967</v>
      </c>
      <c r="D82" s="178"/>
      <c r="E82" s="178"/>
      <c r="F82" s="357">
        <v>4428.2</v>
      </c>
      <c r="G82" s="357">
        <v>3431.8</v>
      </c>
      <c r="H82" s="49">
        <f t="shared" si="51"/>
        <v>8779230.7599999998</v>
      </c>
      <c r="I82" s="212">
        <f>ROUND((191.67+727.06+290.35+292.97)*G82,2)-281115.69</f>
        <v>4873619.5</v>
      </c>
      <c r="J82" s="48">
        <v>0</v>
      </c>
      <c r="K82" s="69">
        <f>ROUND(1056.15*G82,2)-197663.41</f>
        <v>3426832.1599999997</v>
      </c>
      <c r="L82" s="48">
        <v>0</v>
      </c>
      <c r="M82" s="48">
        <v>0</v>
      </c>
      <c r="N82" s="48">
        <v>0</v>
      </c>
      <c r="O82" s="69">
        <v>478779.1</v>
      </c>
      <c r="P82" s="48">
        <v>0</v>
      </c>
      <c r="Q82" s="48">
        <v>0</v>
      </c>
      <c r="R82" s="48">
        <v>1496058.59</v>
      </c>
      <c r="S82" s="91">
        <f t="shared" si="52"/>
        <v>7283172.1699999999</v>
      </c>
      <c r="T82" s="374">
        <v>2017</v>
      </c>
      <c r="U82" s="374">
        <v>2017</v>
      </c>
      <c r="V82" s="374">
        <f t="shared" si="53"/>
        <v>10</v>
      </c>
      <c r="W82" s="34" t="s">
        <v>272</v>
      </c>
      <c r="X82" s="146">
        <v>5</v>
      </c>
    </row>
    <row r="83" spans="1:28" s="23" customFormat="1" ht="18" customHeight="1" x14ac:dyDescent="0.25">
      <c r="A83" s="374">
        <f t="shared" si="48"/>
        <v>61</v>
      </c>
      <c r="B83" s="29" t="s">
        <v>101</v>
      </c>
      <c r="C83" s="374">
        <v>1957</v>
      </c>
      <c r="D83" s="132"/>
      <c r="E83" s="132"/>
      <c r="F83" s="357">
        <v>1872</v>
      </c>
      <c r="G83" s="357">
        <v>1306.9000000000001</v>
      </c>
      <c r="H83" s="49">
        <f t="shared" si="51"/>
        <v>2696775.08</v>
      </c>
      <c r="I83" s="212">
        <f>ROUND((191.67+727.06)*G83,2)-72041.29</f>
        <v>1128646.95</v>
      </c>
      <c r="J83" s="48">
        <v>0</v>
      </c>
      <c r="K83" s="69">
        <v>0</v>
      </c>
      <c r="L83" s="48">
        <v>0</v>
      </c>
      <c r="M83" s="48">
        <f>ROUND(1144.76*G83,2)-89765.21</f>
        <v>1406321.6300000001</v>
      </c>
      <c r="N83" s="48">
        <v>0</v>
      </c>
      <c r="O83" s="69">
        <v>161806.5</v>
      </c>
      <c r="P83" s="48">
        <v>0</v>
      </c>
      <c r="Q83" s="48">
        <v>0</v>
      </c>
      <c r="R83" s="48">
        <v>459554.33</v>
      </c>
      <c r="S83" s="91">
        <f t="shared" si="52"/>
        <v>2237220.75</v>
      </c>
      <c r="T83" s="374">
        <v>2017</v>
      </c>
      <c r="U83" s="374">
        <v>2017</v>
      </c>
      <c r="V83" s="374">
        <f t="shared" si="53"/>
        <v>11</v>
      </c>
      <c r="W83" s="34" t="s">
        <v>272</v>
      </c>
      <c r="X83" s="146">
        <v>3</v>
      </c>
    </row>
    <row r="84" spans="1:28" s="23" customFormat="1" ht="18" customHeight="1" x14ac:dyDescent="0.25">
      <c r="A84" s="374">
        <f t="shared" si="48"/>
        <v>62</v>
      </c>
      <c r="B84" s="65" t="s">
        <v>103</v>
      </c>
      <c r="C84" s="146">
        <v>1947</v>
      </c>
      <c r="D84" s="178"/>
      <c r="E84" s="178"/>
      <c r="F84" s="357">
        <v>1228.7</v>
      </c>
      <c r="G84" s="357">
        <v>916.1</v>
      </c>
      <c r="H84" s="49">
        <f t="shared" si="51"/>
        <v>6232173.3300000001</v>
      </c>
      <c r="I84" s="212">
        <f>ROUND((197.29+748.38+298.86)*G84,2)-40889.73</f>
        <v>1099224.2</v>
      </c>
      <c r="J84" s="48">
        <v>0</v>
      </c>
      <c r="K84" s="69">
        <f>ROUND(4211.64*G84,2)-138375.8</f>
        <v>3719907.6</v>
      </c>
      <c r="L84" s="48">
        <v>0</v>
      </c>
      <c r="M84" s="48">
        <f>ROUND(1346.77*G84,2)-44248.89</f>
        <v>1189527.1100000001</v>
      </c>
      <c r="N84" s="48">
        <v>0</v>
      </c>
      <c r="O84" s="69">
        <v>223514.42</v>
      </c>
      <c r="P84" s="48">
        <v>0</v>
      </c>
      <c r="Q84" s="48">
        <v>0</v>
      </c>
      <c r="R84" s="48">
        <v>1062017.47</v>
      </c>
      <c r="S84" s="91">
        <f t="shared" si="52"/>
        <v>5170155.8600000003</v>
      </c>
      <c r="T84" s="374">
        <v>2017</v>
      </c>
      <c r="U84" s="374">
        <v>2017</v>
      </c>
      <c r="V84" s="374">
        <f t="shared" si="53"/>
        <v>12</v>
      </c>
      <c r="W84" s="34" t="s">
        <v>272</v>
      </c>
      <c r="X84" s="146">
        <v>2</v>
      </c>
    </row>
    <row r="85" spans="1:28" s="23" customFormat="1" ht="18" customHeight="1" x14ac:dyDescent="0.25">
      <c r="A85" s="374">
        <f t="shared" si="48"/>
        <v>63</v>
      </c>
      <c r="B85" s="65" t="s">
        <v>329</v>
      </c>
      <c r="C85" s="146">
        <v>1963</v>
      </c>
      <c r="D85" s="146"/>
      <c r="E85" s="146"/>
      <c r="F85" s="357">
        <v>3505.5</v>
      </c>
      <c r="G85" s="357">
        <v>3257.6</v>
      </c>
      <c r="H85" s="49">
        <f t="shared" si="51"/>
        <v>8333592.3200000003</v>
      </c>
      <c r="I85" s="212">
        <f>ROUND((191.67+727.06+290.35+292.97)*G85,2)-246467.53</f>
        <v>4646610.55</v>
      </c>
      <c r="J85" s="48">
        <v>0</v>
      </c>
      <c r="K85" s="69">
        <f>ROUND(1056.15*G85,2)-173300.95</f>
        <v>3267213.29</v>
      </c>
      <c r="L85" s="48">
        <v>0</v>
      </c>
      <c r="M85" s="48">
        <v>0</v>
      </c>
      <c r="N85" s="48">
        <v>0</v>
      </c>
      <c r="O85" s="69">
        <v>419768.48</v>
      </c>
      <c r="P85" s="48">
        <v>0</v>
      </c>
      <c r="Q85" s="48">
        <v>0</v>
      </c>
      <c r="R85" s="48">
        <v>1420117.86</v>
      </c>
      <c r="S85" s="91">
        <f t="shared" si="52"/>
        <v>6913474.46</v>
      </c>
      <c r="T85" s="374">
        <v>2017</v>
      </c>
      <c r="U85" s="374">
        <v>2017</v>
      </c>
      <c r="V85" s="374">
        <f t="shared" si="53"/>
        <v>13</v>
      </c>
      <c r="W85" s="34" t="s">
        <v>272</v>
      </c>
      <c r="X85" s="146">
        <v>5</v>
      </c>
    </row>
    <row r="86" spans="1:28" ht="18" customHeight="1" x14ac:dyDescent="0.25">
      <c r="A86" s="417" t="s">
        <v>257</v>
      </c>
      <c r="B86" s="423"/>
      <c r="C86" s="46"/>
      <c r="D86" s="379"/>
      <c r="E86" s="379"/>
      <c r="F86" s="358">
        <f>SUM(F61:F85)</f>
        <v>86314.3</v>
      </c>
      <c r="G86" s="358">
        <f t="shared" ref="G86:H86" si="54">SUM(G61:G85)</f>
        <v>71033.299999999988</v>
      </c>
      <c r="H86" s="45">
        <f t="shared" si="54"/>
        <v>133028443.46000001</v>
      </c>
      <c r="I86" s="45">
        <f t="shared" ref="I86" si="55">SUM(I61:I85)</f>
        <v>72511047.039999992</v>
      </c>
      <c r="J86" s="45">
        <f t="shared" ref="J86" si="56">SUM(J61:J85)</f>
        <v>0</v>
      </c>
      <c r="K86" s="45">
        <f t="shared" ref="K86" si="57">SUM(K61:K85)</f>
        <v>50632620.999999993</v>
      </c>
      <c r="L86" s="45">
        <f t="shared" ref="L86" si="58">SUM(L61:L85)</f>
        <v>0</v>
      </c>
      <c r="M86" s="45">
        <f t="shared" ref="M86" si="59">SUM(M61:M85)</f>
        <v>4374065.8100000005</v>
      </c>
      <c r="N86" s="45">
        <f t="shared" ref="N86" si="60">SUM(N61:N85)</f>
        <v>0</v>
      </c>
      <c r="O86" s="45">
        <f t="shared" ref="O86" si="61">SUM(O61:O85)</f>
        <v>5510709.6100000013</v>
      </c>
      <c r="P86" s="45">
        <f t="shared" ref="P86" si="62">SUM(P61:P85)</f>
        <v>0</v>
      </c>
      <c r="Q86" s="45">
        <f t="shared" ref="Q86" si="63">SUM(Q61:Q85)</f>
        <v>0</v>
      </c>
      <c r="R86" s="45">
        <f t="shared" ref="R86" si="64">SUM(R61:R85)</f>
        <v>15000000</v>
      </c>
      <c r="S86" s="45">
        <f t="shared" ref="S86" si="65">SUM(S61:S85)</f>
        <v>118028443.45999999</v>
      </c>
      <c r="T86" s="21" t="s">
        <v>112</v>
      </c>
      <c r="U86" s="21" t="s">
        <v>112</v>
      </c>
      <c r="V86" s="3"/>
      <c r="W86" s="401">
        <f>R86+S86</f>
        <v>133028443.45999999</v>
      </c>
      <c r="Y86" s="60">
        <f>S86-'[2]2017'!$S$61</f>
        <v>30004985.350000009</v>
      </c>
      <c r="AB86" s="354">
        <f>SUM(H73:H85)</f>
        <v>88023598.919999987</v>
      </c>
    </row>
    <row r="87" spans="1:28" ht="18" customHeight="1" x14ac:dyDescent="0.25">
      <c r="A87" s="436" t="s">
        <v>31</v>
      </c>
      <c r="B87" s="437"/>
      <c r="C87" s="437"/>
      <c r="D87" s="437"/>
      <c r="E87" s="437"/>
      <c r="F87" s="437"/>
      <c r="G87" s="437"/>
      <c r="H87" s="437"/>
      <c r="I87" s="437"/>
      <c r="J87" s="437"/>
      <c r="K87" s="437"/>
      <c r="L87" s="437"/>
      <c r="M87" s="437"/>
      <c r="N87" s="437"/>
      <c r="O87" s="437"/>
      <c r="P87" s="437"/>
      <c r="Q87" s="437"/>
      <c r="R87" s="437"/>
      <c r="S87" s="438"/>
      <c r="T87" s="27"/>
      <c r="U87" s="27"/>
      <c r="V87" s="27"/>
    </row>
    <row r="88" spans="1:28" s="111" customFormat="1" ht="18" customHeight="1" x14ac:dyDescent="0.25">
      <c r="A88" s="374">
        <f>A85+1</f>
        <v>64</v>
      </c>
      <c r="B88" s="65" t="s">
        <v>540</v>
      </c>
      <c r="C88" s="352">
        <v>1949</v>
      </c>
      <c r="D88" s="223"/>
      <c r="E88" s="223"/>
      <c r="F88" s="126">
        <f>682.5+8</f>
        <v>690.5</v>
      </c>
      <c r="G88" s="224">
        <f>682.5</f>
        <v>682.5</v>
      </c>
      <c r="H88" s="305">
        <f t="shared" ref="H88:H141" si="66">I88+J88+K88+L88+M88+N88+O88</f>
        <v>98280</v>
      </c>
      <c r="I88" s="305">
        <v>0</v>
      </c>
      <c r="J88" s="305">
        <v>0</v>
      </c>
      <c r="K88" s="305">
        <v>0</v>
      </c>
      <c r="L88" s="305">
        <v>0</v>
      </c>
      <c r="M88" s="305">
        <v>0</v>
      </c>
      <c r="N88" s="305">
        <f>ROUND(682.5*144,2)</f>
        <v>98280</v>
      </c>
      <c r="O88" s="305">
        <v>0</v>
      </c>
      <c r="P88" s="305">
        <v>0</v>
      </c>
      <c r="Q88" s="305">
        <v>0</v>
      </c>
      <c r="R88" s="305">
        <v>0</v>
      </c>
      <c r="S88" s="305">
        <f t="shared" ref="S88:S99" si="67">H88</f>
        <v>98280</v>
      </c>
      <c r="T88" s="374">
        <v>2016</v>
      </c>
      <c r="U88" s="374">
        <v>2017</v>
      </c>
      <c r="V88" s="381">
        <v>1</v>
      </c>
    </row>
    <row r="89" spans="1:28" s="111" customFormat="1" ht="18" customHeight="1" x14ac:dyDescent="0.25">
      <c r="A89" s="374">
        <f>A88+1</f>
        <v>65</v>
      </c>
      <c r="B89" s="65" t="s">
        <v>541</v>
      </c>
      <c r="C89" s="352">
        <v>1960</v>
      </c>
      <c r="D89" s="374"/>
      <c r="E89" s="374"/>
      <c r="F89" s="224">
        <v>1597</v>
      </c>
      <c r="G89" s="224">
        <v>1140</v>
      </c>
      <c r="H89" s="305">
        <f t="shared" si="66"/>
        <v>1305026.3999999999</v>
      </c>
      <c r="I89" s="69">
        <v>0</v>
      </c>
      <c r="J89" s="69">
        <v>0</v>
      </c>
      <c r="K89" s="69">
        <v>0</v>
      </c>
      <c r="L89" s="69">
        <v>0</v>
      </c>
      <c r="M89" s="305">
        <f>G89*1144.76-O89</f>
        <v>1231017.5999999999</v>
      </c>
      <c r="N89" s="69">
        <v>0</v>
      </c>
      <c r="O89" s="69">
        <v>74008.800000000003</v>
      </c>
      <c r="P89" s="69">
        <v>0</v>
      </c>
      <c r="Q89" s="69">
        <v>0</v>
      </c>
      <c r="R89" s="69">
        <v>0</v>
      </c>
      <c r="S89" s="305">
        <f t="shared" si="67"/>
        <v>1305026.3999999999</v>
      </c>
      <c r="T89" s="374">
        <v>2016</v>
      </c>
      <c r="U89" s="374">
        <v>2017</v>
      </c>
      <c r="V89" s="381">
        <f>V88+1</f>
        <v>2</v>
      </c>
    </row>
    <row r="90" spans="1:28" s="111" customFormat="1" ht="18" customHeight="1" x14ac:dyDescent="0.25">
      <c r="A90" s="374">
        <f t="shared" ref="A90:A152" si="68">A89+1</f>
        <v>66</v>
      </c>
      <c r="B90" s="65" t="s">
        <v>542</v>
      </c>
      <c r="C90" s="352">
        <v>1964</v>
      </c>
      <c r="D90" s="374"/>
      <c r="E90" s="374"/>
      <c r="F90" s="224">
        <v>2952.4</v>
      </c>
      <c r="G90" s="224">
        <v>2501</v>
      </c>
      <c r="H90" s="305">
        <f t="shared" si="66"/>
        <v>2863044.76</v>
      </c>
      <c r="I90" s="69">
        <v>0</v>
      </c>
      <c r="J90" s="69">
        <v>0</v>
      </c>
      <c r="K90" s="69">
        <v>0</v>
      </c>
      <c r="L90" s="69">
        <v>0</v>
      </c>
      <c r="M90" s="305">
        <f>G90*1144.76-O90</f>
        <v>2754463.5199999996</v>
      </c>
      <c r="N90" s="69">
        <v>0</v>
      </c>
      <c r="O90" s="69">
        <v>108581.24</v>
      </c>
      <c r="P90" s="69">
        <v>0</v>
      </c>
      <c r="Q90" s="69">
        <v>0</v>
      </c>
      <c r="R90" s="69">
        <v>0</v>
      </c>
      <c r="S90" s="305">
        <f t="shared" si="67"/>
        <v>2863044.76</v>
      </c>
      <c r="T90" s="374">
        <v>2016</v>
      </c>
      <c r="U90" s="374">
        <v>2017</v>
      </c>
      <c r="V90" s="381">
        <f t="shared" ref="V90:V139" si="69">V89+1</f>
        <v>3</v>
      </c>
    </row>
    <row r="91" spans="1:28" s="111" customFormat="1" ht="18" customHeight="1" x14ac:dyDescent="0.25">
      <c r="A91" s="374">
        <f t="shared" si="68"/>
        <v>67</v>
      </c>
      <c r="B91" s="65" t="s">
        <v>543</v>
      </c>
      <c r="C91" s="352">
        <v>1959</v>
      </c>
      <c r="D91" s="223"/>
      <c r="E91" s="223"/>
      <c r="F91" s="126">
        <v>5782.8</v>
      </c>
      <c r="G91" s="224">
        <v>4186.3</v>
      </c>
      <c r="H91" s="305">
        <f t="shared" si="66"/>
        <v>11750525.469999999</v>
      </c>
      <c r="I91" s="305">
        <v>0</v>
      </c>
      <c r="J91" s="305">
        <v>0</v>
      </c>
      <c r="K91" s="305">
        <f>ROUND(4186.3*1724.9,2)</f>
        <v>7220948.8700000001</v>
      </c>
      <c r="L91" s="305">
        <v>0</v>
      </c>
      <c r="M91" s="305">
        <f>ROUND(4186.3*1082,2)</f>
        <v>4529576.5999999996</v>
      </c>
      <c r="N91" s="305">
        <v>0</v>
      </c>
      <c r="O91" s="305">
        <v>0</v>
      </c>
      <c r="P91" s="305">
        <v>0</v>
      </c>
      <c r="Q91" s="305">
        <v>0</v>
      </c>
      <c r="R91" s="305">
        <v>0</v>
      </c>
      <c r="S91" s="305">
        <f t="shared" si="67"/>
        <v>11750525.469999999</v>
      </c>
      <c r="T91" s="374">
        <v>2016</v>
      </c>
      <c r="U91" s="374">
        <v>2017</v>
      </c>
      <c r="V91" s="381">
        <f t="shared" si="69"/>
        <v>4</v>
      </c>
    </row>
    <row r="92" spans="1:28" s="111" customFormat="1" ht="18" customHeight="1" x14ac:dyDescent="0.25">
      <c r="A92" s="374">
        <f t="shared" si="68"/>
        <v>68</v>
      </c>
      <c r="B92" s="65" t="s">
        <v>544</v>
      </c>
      <c r="C92" s="352">
        <v>1973</v>
      </c>
      <c r="D92" s="223"/>
      <c r="E92" s="223" t="s">
        <v>464</v>
      </c>
      <c r="F92" s="126">
        <v>2877.9</v>
      </c>
      <c r="G92" s="224">
        <v>2776.5</v>
      </c>
      <c r="H92" s="305">
        <f t="shared" si="66"/>
        <v>2469752.2799999998</v>
      </c>
      <c r="I92" s="305">
        <v>0</v>
      </c>
      <c r="J92" s="305">
        <v>0</v>
      </c>
      <c r="K92" s="305">
        <v>0</v>
      </c>
      <c r="L92" s="305">
        <v>0</v>
      </c>
      <c r="M92" s="305">
        <f>ROUND(2776.5*889.52,2)</f>
        <v>2469752.2799999998</v>
      </c>
      <c r="N92" s="305">
        <v>0</v>
      </c>
      <c r="O92" s="305">
        <v>0</v>
      </c>
      <c r="P92" s="305">
        <v>0</v>
      </c>
      <c r="Q92" s="305">
        <v>0</v>
      </c>
      <c r="R92" s="305">
        <v>0</v>
      </c>
      <c r="S92" s="305">
        <f t="shared" si="67"/>
        <v>2469752.2799999998</v>
      </c>
      <c r="T92" s="374">
        <v>2016</v>
      </c>
      <c r="U92" s="374">
        <v>2017</v>
      </c>
      <c r="V92" s="381">
        <f t="shared" si="69"/>
        <v>5</v>
      </c>
    </row>
    <row r="93" spans="1:28" s="111" customFormat="1" ht="18" customHeight="1" x14ac:dyDescent="0.25">
      <c r="A93" s="374">
        <f t="shared" si="68"/>
        <v>69</v>
      </c>
      <c r="B93" s="65" t="s">
        <v>545</v>
      </c>
      <c r="C93" s="352">
        <v>1938</v>
      </c>
      <c r="D93" s="374" t="s">
        <v>444</v>
      </c>
      <c r="E93" s="374"/>
      <c r="F93" s="224">
        <v>1854.2</v>
      </c>
      <c r="G93" s="224">
        <v>1225.5</v>
      </c>
      <c r="H93" s="305">
        <f t="shared" si="66"/>
        <v>2864949.39</v>
      </c>
      <c r="I93" s="69">
        <v>0</v>
      </c>
      <c r="J93" s="69">
        <v>0</v>
      </c>
      <c r="K93" s="69">
        <v>0</v>
      </c>
      <c r="L93" s="69">
        <v>0</v>
      </c>
      <c r="M93" s="305">
        <v>2864949.39</v>
      </c>
      <c r="N93" s="69">
        <v>0</v>
      </c>
      <c r="O93" s="69">
        <v>0</v>
      </c>
      <c r="P93" s="69">
        <v>0</v>
      </c>
      <c r="Q93" s="69">
        <v>0</v>
      </c>
      <c r="R93" s="69">
        <v>0</v>
      </c>
      <c r="S93" s="305">
        <f t="shared" si="67"/>
        <v>2864949.39</v>
      </c>
      <c r="T93" s="374">
        <v>2016</v>
      </c>
      <c r="U93" s="374">
        <v>2017</v>
      </c>
      <c r="V93" s="381">
        <f t="shared" si="69"/>
        <v>6</v>
      </c>
    </row>
    <row r="94" spans="1:28" s="111" customFormat="1" ht="18" customHeight="1" x14ac:dyDescent="0.25">
      <c r="A94" s="374">
        <f t="shared" si="68"/>
        <v>70</v>
      </c>
      <c r="B94" s="65" t="s">
        <v>546</v>
      </c>
      <c r="C94" s="352">
        <v>1933</v>
      </c>
      <c r="D94" s="374" t="s">
        <v>444</v>
      </c>
      <c r="E94" s="374"/>
      <c r="F94" s="126">
        <v>5749.4</v>
      </c>
      <c r="G94" s="224">
        <v>3766.8</v>
      </c>
      <c r="H94" s="305">
        <f t="shared" si="66"/>
        <v>8805949.6999999993</v>
      </c>
      <c r="I94" s="305">
        <v>0</v>
      </c>
      <c r="J94" s="305">
        <v>0</v>
      </c>
      <c r="K94" s="305">
        <v>0</v>
      </c>
      <c r="L94" s="305">
        <v>0</v>
      </c>
      <c r="M94" s="305">
        <f>ROUND(3766.8*2337.78,2)</f>
        <v>8805949.6999999993</v>
      </c>
      <c r="N94" s="305">
        <v>0</v>
      </c>
      <c r="O94" s="305">
        <v>0</v>
      </c>
      <c r="P94" s="305">
        <v>0</v>
      </c>
      <c r="Q94" s="305">
        <v>0</v>
      </c>
      <c r="R94" s="305">
        <v>0</v>
      </c>
      <c r="S94" s="305">
        <f t="shared" si="67"/>
        <v>8805949.6999999993</v>
      </c>
      <c r="T94" s="374">
        <v>2016</v>
      </c>
      <c r="U94" s="374">
        <v>2017</v>
      </c>
      <c r="V94" s="381">
        <f t="shared" si="69"/>
        <v>7</v>
      </c>
    </row>
    <row r="95" spans="1:28" s="111" customFormat="1" ht="18" customHeight="1" x14ac:dyDescent="0.25">
      <c r="A95" s="374">
        <f t="shared" si="68"/>
        <v>71</v>
      </c>
      <c r="B95" s="65" t="s">
        <v>547</v>
      </c>
      <c r="C95" s="352">
        <v>1941</v>
      </c>
      <c r="D95" s="374"/>
      <c r="E95" s="374"/>
      <c r="F95" s="224">
        <v>2675</v>
      </c>
      <c r="G95" s="224">
        <v>2002.8</v>
      </c>
      <c r="H95" s="305">
        <f t="shared" si="66"/>
        <v>5621659.3200000003</v>
      </c>
      <c r="I95" s="69">
        <v>0</v>
      </c>
      <c r="J95" s="69">
        <v>0</v>
      </c>
      <c r="K95" s="305">
        <f>G95*1724.9</f>
        <v>3454629.72</v>
      </c>
      <c r="L95" s="69">
        <v>0</v>
      </c>
      <c r="M95" s="305">
        <f>G95*1082</f>
        <v>2167029.6</v>
      </c>
      <c r="N95" s="69">
        <v>0</v>
      </c>
      <c r="O95" s="69">
        <v>0</v>
      </c>
      <c r="P95" s="69">
        <v>0</v>
      </c>
      <c r="Q95" s="69">
        <v>0</v>
      </c>
      <c r="R95" s="69">
        <v>0</v>
      </c>
      <c r="S95" s="305">
        <f t="shared" si="67"/>
        <v>5621659.3200000003</v>
      </c>
      <c r="T95" s="374">
        <v>2016</v>
      </c>
      <c r="U95" s="374">
        <v>2017</v>
      </c>
      <c r="V95" s="381">
        <f t="shared" si="69"/>
        <v>8</v>
      </c>
    </row>
    <row r="96" spans="1:28" s="111" customFormat="1" ht="18" customHeight="1" x14ac:dyDescent="0.25">
      <c r="A96" s="374">
        <f t="shared" si="68"/>
        <v>72</v>
      </c>
      <c r="B96" s="65" t="s">
        <v>548</v>
      </c>
      <c r="C96" s="352">
        <v>1934</v>
      </c>
      <c r="D96" s="374" t="s">
        <v>444</v>
      </c>
      <c r="E96" s="374"/>
      <c r="F96" s="224">
        <v>4133.3999999999996</v>
      </c>
      <c r="G96" s="224">
        <v>3077.1</v>
      </c>
      <c r="H96" s="305">
        <f t="shared" si="66"/>
        <v>4908620.6900000004</v>
      </c>
      <c r="I96" s="69">
        <v>0</v>
      </c>
      <c r="J96" s="69">
        <v>0</v>
      </c>
      <c r="K96" s="305">
        <v>4908620.6900000004</v>
      </c>
      <c r="L96" s="69">
        <v>0</v>
      </c>
      <c r="M96" s="69">
        <v>0</v>
      </c>
      <c r="N96" s="69">
        <v>0</v>
      </c>
      <c r="O96" s="69">
        <v>0</v>
      </c>
      <c r="P96" s="69">
        <v>0</v>
      </c>
      <c r="Q96" s="69">
        <v>0</v>
      </c>
      <c r="R96" s="69">
        <v>0</v>
      </c>
      <c r="S96" s="305">
        <f t="shared" si="67"/>
        <v>4908620.6900000004</v>
      </c>
      <c r="T96" s="374">
        <v>2016</v>
      </c>
      <c r="U96" s="374">
        <v>2017</v>
      </c>
      <c r="V96" s="381">
        <f t="shared" si="69"/>
        <v>9</v>
      </c>
    </row>
    <row r="97" spans="1:22" s="111" customFormat="1" ht="18" customHeight="1" x14ac:dyDescent="0.25">
      <c r="A97" s="374">
        <f t="shared" si="68"/>
        <v>73</v>
      </c>
      <c r="B97" s="65" t="s">
        <v>549</v>
      </c>
      <c r="C97" s="352">
        <v>1939</v>
      </c>
      <c r="D97" s="374" t="s">
        <v>444</v>
      </c>
      <c r="E97" s="374"/>
      <c r="F97" s="224">
        <v>10520</v>
      </c>
      <c r="G97" s="224">
        <v>7367</v>
      </c>
      <c r="H97" s="305">
        <f t="shared" si="66"/>
        <v>17161279.16</v>
      </c>
      <c r="I97" s="69">
        <v>0</v>
      </c>
      <c r="J97" s="69">
        <v>0</v>
      </c>
      <c r="K97" s="69">
        <v>0</v>
      </c>
      <c r="L97" s="69">
        <v>0</v>
      </c>
      <c r="M97" s="305">
        <f>ROUND(7367*2329.48,2)</f>
        <v>17161279.16</v>
      </c>
      <c r="N97" s="69">
        <v>0</v>
      </c>
      <c r="O97" s="69">
        <v>0</v>
      </c>
      <c r="P97" s="69">
        <v>0</v>
      </c>
      <c r="Q97" s="69">
        <v>0</v>
      </c>
      <c r="R97" s="69">
        <v>0</v>
      </c>
      <c r="S97" s="305">
        <f t="shared" si="67"/>
        <v>17161279.16</v>
      </c>
      <c r="T97" s="374">
        <v>2016</v>
      </c>
      <c r="U97" s="374">
        <v>2017</v>
      </c>
      <c r="V97" s="381">
        <f t="shared" si="69"/>
        <v>10</v>
      </c>
    </row>
    <row r="98" spans="1:22" s="111" customFormat="1" ht="18" customHeight="1" x14ac:dyDescent="0.25">
      <c r="A98" s="374">
        <f t="shared" si="68"/>
        <v>74</v>
      </c>
      <c r="B98" s="65" t="s">
        <v>550</v>
      </c>
      <c r="C98" s="352">
        <v>1950</v>
      </c>
      <c r="D98" s="223" t="s">
        <v>444</v>
      </c>
      <c r="E98" s="223"/>
      <c r="F98" s="126">
        <v>2796.8</v>
      </c>
      <c r="G98" s="224">
        <v>1958.8</v>
      </c>
      <c r="H98" s="305">
        <f t="shared" si="66"/>
        <v>7703940.8100000005</v>
      </c>
      <c r="I98" s="305">
        <v>0</v>
      </c>
      <c r="J98" s="305">
        <v>0</v>
      </c>
      <c r="K98" s="305">
        <f>ROUND(1958.8*1595.21,2)</f>
        <v>3124697.35</v>
      </c>
      <c r="L98" s="305">
        <v>0</v>
      </c>
      <c r="M98" s="305">
        <f>ROUND(1958.8*2337.78,2)</f>
        <v>4579243.46</v>
      </c>
      <c r="N98" s="305">
        <v>0</v>
      </c>
      <c r="O98" s="305">
        <v>0</v>
      </c>
      <c r="P98" s="305">
        <v>0</v>
      </c>
      <c r="Q98" s="305">
        <v>0</v>
      </c>
      <c r="R98" s="305">
        <v>0</v>
      </c>
      <c r="S98" s="305">
        <f t="shared" si="67"/>
        <v>7703940.8100000005</v>
      </c>
      <c r="T98" s="374">
        <v>2016</v>
      </c>
      <c r="U98" s="374">
        <v>2017</v>
      </c>
      <c r="V98" s="381">
        <f t="shared" si="69"/>
        <v>11</v>
      </c>
    </row>
    <row r="99" spans="1:22" s="111" customFormat="1" ht="18" customHeight="1" x14ac:dyDescent="0.25">
      <c r="A99" s="374">
        <f t="shared" si="68"/>
        <v>75</v>
      </c>
      <c r="B99" s="65" t="s">
        <v>551</v>
      </c>
      <c r="C99" s="352">
        <v>1951</v>
      </c>
      <c r="D99" s="223" t="s">
        <v>444</v>
      </c>
      <c r="E99" s="223"/>
      <c r="F99" s="126">
        <v>9390.9</v>
      </c>
      <c r="G99" s="224">
        <v>6593.4</v>
      </c>
      <c r="H99" s="305">
        <f t="shared" si="66"/>
        <v>15413918.65</v>
      </c>
      <c r="I99" s="305">
        <v>0</v>
      </c>
      <c r="J99" s="305">
        <v>0</v>
      </c>
      <c r="K99" s="305">
        <v>0</v>
      </c>
      <c r="L99" s="305">
        <v>0</v>
      </c>
      <c r="M99" s="305">
        <f>ROUND(6593.4*2337.78,2)</f>
        <v>15413918.65</v>
      </c>
      <c r="N99" s="305">
        <v>0</v>
      </c>
      <c r="O99" s="305">
        <v>0</v>
      </c>
      <c r="P99" s="305">
        <v>0</v>
      </c>
      <c r="Q99" s="305">
        <v>0</v>
      </c>
      <c r="R99" s="305">
        <v>0</v>
      </c>
      <c r="S99" s="305">
        <f t="shared" si="67"/>
        <v>15413918.65</v>
      </c>
      <c r="T99" s="374">
        <v>2016</v>
      </c>
      <c r="U99" s="374">
        <v>2017</v>
      </c>
      <c r="V99" s="381">
        <f t="shared" si="69"/>
        <v>12</v>
      </c>
    </row>
    <row r="100" spans="1:22" s="111" customFormat="1" ht="18" customHeight="1" x14ac:dyDescent="0.25">
      <c r="A100" s="374">
        <f t="shared" si="68"/>
        <v>76</v>
      </c>
      <c r="B100" s="65" t="s">
        <v>552</v>
      </c>
      <c r="C100" s="352">
        <v>1952</v>
      </c>
      <c r="D100" s="374" t="s">
        <v>444</v>
      </c>
      <c r="E100" s="374"/>
      <c r="F100" s="224">
        <v>1949.2</v>
      </c>
      <c r="G100" s="224">
        <v>1551.6</v>
      </c>
      <c r="H100" s="305">
        <f t="shared" si="66"/>
        <v>3627299.45</v>
      </c>
      <c r="I100" s="69">
        <v>0</v>
      </c>
      <c r="J100" s="69">
        <v>0</v>
      </c>
      <c r="K100" s="69">
        <v>0</v>
      </c>
      <c r="L100" s="69">
        <v>0</v>
      </c>
      <c r="M100" s="305">
        <v>3627299.45</v>
      </c>
      <c r="N100" s="69">
        <v>0</v>
      </c>
      <c r="O100" s="69">
        <v>0</v>
      </c>
      <c r="P100" s="69">
        <v>0</v>
      </c>
      <c r="Q100" s="69">
        <v>0</v>
      </c>
      <c r="R100" s="69">
        <v>0</v>
      </c>
      <c r="S100" s="305">
        <f>H100-R100</f>
        <v>3627299.45</v>
      </c>
      <c r="T100" s="374">
        <v>2016</v>
      </c>
      <c r="U100" s="374">
        <v>2017</v>
      </c>
      <c r="V100" s="381">
        <f t="shared" si="69"/>
        <v>13</v>
      </c>
    </row>
    <row r="101" spans="1:22" s="111" customFormat="1" ht="18" customHeight="1" x14ac:dyDescent="0.25">
      <c r="A101" s="374">
        <f t="shared" si="68"/>
        <v>77</v>
      </c>
      <c r="B101" s="65" t="s">
        <v>553</v>
      </c>
      <c r="C101" s="352">
        <v>1952</v>
      </c>
      <c r="D101" s="374" t="s">
        <v>444</v>
      </c>
      <c r="E101" s="374"/>
      <c r="F101" s="224">
        <v>2842.1</v>
      </c>
      <c r="G101" s="224">
        <v>2271.4</v>
      </c>
      <c r="H101" s="305">
        <f t="shared" si="66"/>
        <v>5310033.49</v>
      </c>
      <c r="I101" s="69">
        <v>0</v>
      </c>
      <c r="J101" s="69">
        <v>0</v>
      </c>
      <c r="K101" s="69">
        <v>0</v>
      </c>
      <c r="L101" s="69">
        <v>0</v>
      </c>
      <c r="M101" s="305">
        <v>5310033.49</v>
      </c>
      <c r="N101" s="69">
        <v>0</v>
      </c>
      <c r="O101" s="69">
        <v>0</v>
      </c>
      <c r="P101" s="69">
        <v>0</v>
      </c>
      <c r="Q101" s="69">
        <v>0</v>
      </c>
      <c r="R101" s="69">
        <v>0</v>
      </c>
      <c r="S101" s="305">
        <f>H101-R101</f>
        <v>5310033.49</v>
      </c>
      <c r="T101" s="374">
        <v>2016</v>
      </c>
      <c r="U101" s="374">
        <v>2017</v>
      </c>
      <c r="V101" s="381">
        <f t="shared" si="69"/>
        <v>14</v>
      </c>
    </row>
    <row r="102" spans="1:22" s="111" customFormat="1" ht="18" customHeight="1" x14ac:dyDescent="0.25">
      <c r="A102" s="374">
        <f t="shared" si="68"/>
        <v>78</v>
      </c>
      <c r="B102" s="65" t="s">
        <v>554</v>
      </c>
      <c r="C102" s="352">
        <v>1937</v>
      </c>
      <c r="D102" s="374"/>
      <c r="E102" s="374"/>
      <c r="F102" s="224">
        <v>2250.8000000000002</v>
      </c>
      <c r="G102" s="224">
        <v>2091</v>
      </c>
      <c r="H102" s="305">
        <f t="shared" si="66"/>
        <v>6000459.0599999996</v>
      </c>
      <c r="I102" s="69">
        <v>0</v>
      </c>
      <c r="J102" s="69">
        <v>0</v>
      </c>
      <c r="K102" s="305">
        <f>G102*1724.9</f>
        <v>3606765.9000000004</v>
      </c>
      <c r="L102" s="69">
        <v>0</v>
      </c>
      <c r="M102" s="305">
        <f>G102*1144.76-O102</f>
        <v>2275540.94</v>
      </c>
      <c r="N102" s="69">
        <v>0</v>
      </c>
      <c r="O102" s="69">
        <v>118152.22</v>
      </c>
      <c r="P102" s="69">
        <v>0</v>
      </c>
      <c r="Q102" s="69">
        <v>0</v>
      </c>
      <c r="R102" s="69">
        <v>0</v>
      </c>
      <c r="S102" s="305">
        <f>H102</f>
        <v>6000459.0599999996</v>
      </c>
      <c r="T102" s="374">
        <v>2016</v>
      </c>
      <c r="U102" s="374">
        <v>2017</v>
      </c>
      <c r="V102" s="381">
        <f t="shared" si="69"/>
        <v>15</v>
      </c>
    </row>
    <row r="103" spans="1:22" s="111" customFormat="1" ht="18" customHeight="1" x14ac:dyDescent="0.25">
      <c r="A103" s="374">
        <f t="shared" si="68"/>
        <v>79</v>
      </c>
      <c r="B103" s="65" t="s">
        <v>555</v>
      </c>
      <c r="C103" s="352">
        <v>1952</v>
      </c>
      <c r="D103" s="374" t="s">
        <v>444</v>
      </c>
      <c r="E103" s="374"/>
      <c r="F103" s="224">
        <v>3666.5</v>
      </c>
      <c r="G103" s="224">
        <v>2569.1</v>
      </c>
      <c r="H103" s="305">
        <f t="shared" si="66"/>
        <v>6005990.5999999996</v>
      </c>
      <c r="I103" s="69">
        <v>0</v>
      </c>
      <c r="J103" s="69">
        <v>0</v>
      </c>
      <c r="K103" s="69">
        <v>0</v>
      </c>
      <c r="L103" s="69">
        <v>0</v>
      </c>
      <c r="M103" s="305">
        <v>6005990.5999999996</v>
      </c>
      <c r="N103" s="69">
        <v>0</v>
      </c>
      <c r="O103" s="69">
        <v>0</v>
      </c>
      <c r="P103" s="69">
        <v>0</v>
      </c>
      <c r="Q103" s="69">
        <v>0</v>
      </c>
      <c r="R103" s="69">
        <v>0</v>
      </c>
      <c r="S103" s="305">
        <f>H103-R103</f>
        <v>6005990.5999999996</v>
      </c>
      <c r="T103" s="374">
        <v>2016</v>
      </c>
      <c r="U103" s="374">
        <v>2017</v>
      </c>
      <c r="V103" s="381">
        <f t="shared" si="69"/>
        <v>16</v>
      </c>
    </row>
    <row r="104" spans="1:22" s="111" customFormat="1" ht="18" customHeight="1" x14ac:dyDescent="0.25">
      <c r="A104" s="374">
        <f t="shared" si="68"/>
        <v>80</v>
      </c>
      <c r="B104" s="65" t="s">
        <v>556</v>
      </c>
      <c r="C104" s="352">
        <v>1962</v>
      </c>
      <c r="D104" s="374"/>
      <c r="E104" s="374"/>
      <c r="F104" s="224">
        <f>3046.1+214.3</f>
        <v>3260.4</v>
      </c>
      <c r="G104" s="224">
        <v>3046.1</v>
      </c>
      <c r="H104" s="305">
        <f t="shared" si="66"/>
        <v>5254217.8899999997</v>
      </c>
      <c r="I104" s="69">
        <v>0</v>
      </c>
      <c r="J104" s="69">
        <v>0</v>
      </c>
      <c r="K104" s="305">
        <f>G104*1724.9</f>
        <v>5254217.8899999997</v>
      </c>
      <c r="L104" s="69">
        <v>0</v>
      </c>
      <c r="M104" s="69">
        <v>0</v>
      </c>
      <c r="N104" s="69">
        <v>0</v>
      </c>
      <c r="O104" s="69">
        <v>0</v>
      </c>
      <c r="P104" s="69">
        <v>0</v>
      </c>
      <c r="Q104" s="69">
        <v>0</v>
      </c>
      <c r="R104" s="69">
        <v>0</v>
      </c>
      <c r="S104" s="305">
        <f t="shared" ref="S104:S162" si="70">H104</f>
        <v>5254217.8899999997</v>
      </c>
      <c r="T104" s="374">
        <v>2016</v>
      </c>
      <c r="U104" s="374">
        <v>2017</v>
      </c>
      <c r="V104" s="381">
        <f t="shared" si="69"/>
        <v>17</v>
      </c>
    </row>
    <row r="105" spans="1:22" s="111" customFormat="1" ht="18" customHeight="1" x14ac:dyDescent="0.25">
      <c r="A105" s="374">
        <f t="shared" si="68"/>
        <v>81</v>
      </c>
      <c r="B105" s="65" t="s">
        <v>557</v>
      </c>
      <c r="C105" s="352">
        <v>1952</v>
      </c>
      <c r="D105" s="223" t="s">
        <v>444</v>
      </c>
      <c r="E105" s="223"/>
      <c r="F105" s="126">
        <v>2841.9</v>
      </c>
      <c r="G105" s="224">
        <v>1840.2</v>
      </c>
      <c r="H105" s="305">
        <f t="shared" si="66"/>
        <v>7237488.1999999993</v>
      </c>
      <c r="I105" s="305">
        <v>0</v>
      </c>
      <c r="J105" s="305">
        <v>0</v>
      </c>
      <c r="K105" s="305">
        <f>ROUND(1840.2*1595.21,2)</f>
        <v>2935505.44</v>
      </c>
      <c r="L105" s="305">
        <v>0</v>
      </c>
      <c r="M105" s="386">
        <f>ROUND(1840.2*2337.78,2)</f>
        <v>4301982.76</v>
      </c>
      <c r="N105" s="305">
        <v>0</v>
      </c>
      <c r="O105" s="305">
        <v>0</v>
      </c>
      <c r="P105" s="305">
        <v>0</v>
      </c>
      <c r="Q105" s="305">
        <v>0</v>
      </c>
      <c r="R105" s="305">
        <v>0</v>
      </c>
      <c r="S105" s="305">
        <f t="shared" si="70"/>
        <v>7237488.1999999993</v>
      </c>
      <c r="T105" s="374">
        <v>2016</v>
      </c>
      <c r="U105" s="374">
        <v>2017</v>
      </c>
      <c r="V105" s="381">
        <f t="shared" si="69"/>
        <v>18</v>
      </c>
    </row>
    <row r="106" spans="1:22" s="111" customFormat="1" ht="18" customHeight="1" x14ac:dyDescent="0.25">
      <c r="A106" s="374">
        <f t="shared" si="68"/>
        <v>82</v>
      </c>
      <c r="B106" s="65" t="s">
        <v>558</v>
      </c>
      <c r="C106" s="352">
        <v>1953</v>
      </c>
      <c r="D106" s="374" t="s">
        <v>444</v>
      </c>
      <c r="E106" s="374"/>
      <c r="F106" s="224">
        <v>10317.799999999999</v>
      </c>
      <c r="G106" s="224">
        <v>8324.5</v>
      </c>
      <c r="H106" s="305">
        <f t="shared" si="66"/>
        <v>32740175.259999998</v>
      </c>
      <c r="I106" s="69">
        <v>0</v>
      </c>
      <c r="J106" s="69">
        <v>0</v>
      </c>
      <c r="K106" s="305">
        <v>13279325.65</v>
      </c>
      <c r="L106" s="69">
        <v>0</v>
      </c>
      <c r="M106" s="305">
        <v>19460849.609999999</v>
      </c>
      <c r="N106" s="69">
        <v>0</v>
      </c>
      <c r="O106" s="69">
        <v>0</v>
      </c>
      <c r="P106" s="69">
        <v>0</v>
      </c>
      <c r="Q106" s="69">
        <v>0</v>
      </c>
      <c r="R106" s="69">
        <v>0</v>
      </c>
      <c r="S106" s="305">
        <f t="shared" si="70"/>
        <v>32740175.259999998</v>
      </c>
      <c r="T106" s="374">
        <v>2016</v>
      </c>
      <c r="U106" s="374">
        <v>2017</v>
      </c>
      <c r="V106" s="381">
        <f t="shared" si="69"/>
        <v>19</v>
      </c>
    </row>
    <row r="107" spans="1:22" s="111" customFormat="1" ht="18" customHeight="1" x14ac:dyDescent="0.25">
      <c r="A107" s="374">
        <f t="shared" si="68"/>
        <v>83</v>
      </c>
      <c r="B107" s="65" t="s">
        <v>559</v>
      </c>
      <c r="C107" s="352">
        <v>1955</v>
      </c>
      <c r="D107" s="223" t="s">
        <v>444</v>
      </c>
      <c r="E107" s="223"/>
      <c r="F107" s="126">
        <v>2008.8</v>
      </c>
      <c r="G107" s="224">
        <v>1518</v>
      </c>
      <c r="H107" s="305">
        <f t="shared" si="66"/>
        <v>5970278.8200000003</v>
      </c>
      <c r="I107" s="305">
        <v>0</v>
      </c>
      <c r="J107" s="305">
        <v>0</v>
      </c>
      <c r="K107" s="305">
        <f>ROUND(1518*1595.21,2)</f>
        <v>2421528.7799999998</v>
      </c>
      <c r="L107" s="305">
        <v>0</v>
      </c>
      <c r="M107" s="386">
        <f>ROUND(1518*2337.78,2)</f>
        <v>3548750.04</v>
      </c>
      <c r="N107" s="305">
        <v>0</v>
      </c>
      <c r="O107" s="305">
        <v>0</v>
      </c>
      <c r="P107" s="305">
        <v>0</v>
      </c>
      <c r="Q107" s="305">
        <v>0</v>
      </c>
      <c r="R107" s="305">
        <v>0</v>
      </c>
      <c r="S107" s="305">
        <f t="shared" si="70"/>
        <v>5970278.8200000003</v>
      </c>
      <c r="T107" s="374">
        <v>2016</v>
      </c>
      <c r="U107" s="374">
        <v>2017</v>
      </c>
      <c r="V107" s="381">
        <f t="shared" si="69"/>
        <v>20</v>
      </c>
    </row>
    <row r="108" spans="1:22" s="111" customFormat="1" ht="18" customHeight="1" x14ac:dyDescent="0.25">
      <c r="A108" s="374">
        <f t="shared" si="68"/>
        <v>84</v>
      </c>
      <c r="B108" s="65" t="s">
        <v>560</v>
      </c>
      <c r="C108" s="352">
        <v>1949</v>
      </c>
      <c r="D108" s="374" t="s">
        <v>444</v>
      </c>
      <c r="E108" s="374"/>
      <c r="F108" s="224">
        <v>1143.7</v>
      </c>
      <c r="G108" s="224">
        <v>755.4</v>
      </c>
      <c r="H108" s="305">
        <f t="shared" si="66"/>
        <v>2970980.6399999997</v>
      </c>
      <c r="I108" s="69">
        <v>0</v>
      </c>
      <c r="J108" s="69">
        <v>0</v>
      </c>
      <c r="K108" s="305">
        <v>1205021.6299999999</v>
      </c>
      <c r="L108" s="69">
        <v>0</v>
      </c>
      <c r="M108" s="305">
        <v>1765959.01</v>
      </c>
      <c r="N108" s="69">
        <v>0</v>
      </c>
      <c r="O108" s="69">
        <v>0</v>
      </c>
      <c r="P108" s="69">
        <v>0</v>
      </c>
      <c r="Q108" s="69">
        <v>0</v>
      </c>
      <c r="R108" s="69">
        <v>0</v>
      </c>
      <c r="S108" s="305">
        <f t="shared" si="70"/>
        <v>2970980.6399999997</v>
      </c>
      <c r="T108" s="374">
        <v>2016</v>
      </c>
      <c r="U108" s="374">
        <v>2017</v>
      </c>
      <c r="V108" s="381">
        <f t="shared" si="69"/>
        <v>21</v>
      </c>
    </row>
    <row r="109" spans="1:22" s="111" customFormat="1" ht="18" customHeight="1" x14ac:dyDescent="0.25">
      <c r="A109" s="374">
        <f t="shared" si="68"/>
        <v>85</v>
      </c>
      <c r="B109" s="65" t="s">
        <v>561</v>
      </c>
      <c r="C109" s="352">
        <v>1950</v>
      </c>
      <c r="D109" s="374" t="s">
        <v>444</v>
      </c>
      <c r="E109" s="374"/>
      <c r="F109" s="126">
        <v>1059.3</v>
      </c>
      <c r="G109" s="224">
        <v>965.9</v>
      </c>
      <c r="H109" s="305">
        <f t="shared" si="66"/>
        <v>2258061.7000000002</v>
      </c>
      <c r="I109" s="305">
        <v>0</v>
      </c>
      <c r="J109" s="305">
        <v>0</v>
      </c>
      <c r="K109" s="305">
        <v>0</v>
      </c>
      <c r="L109" s="305">
        <v>0</v>
      </c>
      <c r="M109" s="305">
        <f>ROUND(965.9*2337.78,2)</f>
        <v>2258061.7000000002</v>
      </c>
      <c r="N109" s="305">
        <v>0</v>
      </c>
      <c r="O109" s="305">
        <v>0</v>
      </c>
      <c r="P109" s="305">
        <v>0</v>
      </c>
      <c r="Q109" s="305">
        <v>0</v>
      </c>
      <c r="R109" s="305">
        <v>0</v>
      </c>
      <c r="S109" s="305">
        <f t="shared" si="70"/>
        <v>2258061.7000000002</v>
      </c>
      <c r="T109" s="374">
        <v>2016</v>
      </c>
      <c r="U109" s="374">
        <v>2017</v>
      </c>
      <c r="V109" s="381">
        <f t="shared" si="69"/>
        <v>22</v>
      </c>
    </row>
    <row r="110" spans="1:22" s="111" customFormat="1" ht="18" customHeight="1" x14ac:dyDescent="0.25">
      <c r="A110" s="374">
        <f t="shared" si="68"/>
        <v>86</v>
      </c>
      <c r="B110" s="65" t="s">
        <v>562</v>
      </c>
      <c r="C110" s="352">
        <v>1960</v>
      </c>
      <c r="D110" s="223"/>
      <c r="E110" s="223"/>
      <c r="F110" s="126">
        <v>808.9</v>
      </c>
      <c r="G110" s="224">
        <v>634</v>
      </c>
      <c r="H110" s="305">
        <f t="shared" si="66"/>
        <v>2523802.4700000002</v>
      </c>
      <c r="I110" s="305">
        <v>0</v>
      </c>
      <c r="J110" s="305">
        <v>0</v>
      </c>
      <c r="K110" s="305">
        <f>ROUND(634*3980.761,2)</f>
        <v>2523802.4700000002</v>
      </c>
      <c r="L110" s="305">
        <v>0</v>
      </c>
      <c r="M110" s="305">
        <v>0</v>
      </c>
      <c r="N110" s="305">
        <v>0</v>
      </c>
      <c r="O110" s="305">
        <v>0</v>
      </c>
      <c r="P110" s="305">
        <v>0</v>
      </c>
      <c r="Q110" s="305">
        <v>0</v>
      </c>
      <c r="R110" s="305">
        <v>0</v>
      </c>
      <c r="S110" s="305">
        <f t="shared" si="70"/>
        <v>2523802.4700000002</v>
      </c>
      <c r="T110" s="374">
        <v>2016</v>
      </c>
      <c r="U110" s="374">
        <v>2017</v>
      </c>
      <c r="V110" s="381">
        <f t="shared" si="69"/>
        <v>23</v>
      </c>
    </row>
    <row r="111" spans="1:22" s="111" customFormat="1" ht="18" customHeight="1" x14ac:dyDescent="0.25">
      <c r="A111" s="374">
        <f t="shared" si="68"/>
        <v>87</v>
      </c>
      <c r="B111" s="65" t="s">
        <v>563</v>
      </c>
      <c r="C111" s="352">
        <v>1959</v>
      </c>
      <c r="D111" s="374"/>
      <c r="E111" s="374"/>
      <c r="F111" s="224">
        <f>545.4+16.4</f>
        <v>561.79999999999995</v>
      </c>
      <c r="G111" s="224">
        <v>545.4</v>
      </c>
      <c r="H111" s="305">
        <f t="shared" si="66"/>
        <v>2249644.1040000003</v>
      </c>
      <c r="I111" s="69">
        <v>0</v>
      </c>
      <c r="J111" s="69">
        <v>0</v>
      </c>
      <c r="K111" s="305">
        <f>G111*3980.76</f>
        <v>2171106.5040000002</v>
      </c>
      <c r="L111" s="69">
        <v>0</v>
      </c>
      <c r="M111" s="69">
        <v>0</v>
      </c>
      <c r="N111" s="69">
        <f>G111*144</f>
        <v>78537.599999999991</v>
      </c>
      <c r="O111" s="69">
        <v>0</v>
      </c>
      <c r="P111" s="69">
        <v>0</v>
      </c>
      <c r="Q111" s="69">
        <v>0</v>
      </c>
      <c r="R111" s="69">
        <v>0</v>
      </c>
      <c r="S111" s="305">
        <f t="shared" si="70"/>
        <v>2249644.1040000003</v>
      </c>
      <c r="T111" s="374">
        <v>2016</v>
      </c>
      <c r="U111" s="374">
        <v>2017</v>
      </c>
      <c r="V111" s="381">
        <f t="shared" si="69"/>
        <v>24</v>
      </c>
    </row>
    <row r="112" spans="1:22" s="111" customFormat="1" ht="18" customHeight="1" x14ac:dyDescent="0.25">
      <c r="A112" s="374">
        <f t="shared" si="68"/>
        <v>88</v>
      </c>
      <c r="B112" s="65" t="s">
        <v>564</v>
      </c>
      <c r="C112" s="352">
        <v>1992</v>
      </c>
      <c r="D112" s="223"/>
      <c r="E112" s="223"/>
      <c r="F112" s="126">
        <v>7623.2</v>
      </c>
      <c r="G112" s="224">
        <v>7512.2</v>
      </c>
      <c r="H112" s="305">
        <f t="shared" si="66"/>
        <v>10080614.75</v>
      </c>
      <c r="I112" s="305">
        <v>0</v>
      </c>
      <c r="J112" s="305">
        <v>0</v>
      </c>
      <c r="K112" s="305">
        <v>4973451.91</v>
      </c>
      <c r="L112" s="305">
        <v>0</v>
      </c>
      <c r="M112" s="387">
        <v>5107162.84</v>
      </c>
      <c r="N112" s="387">
        <v>0</v>
      </c>
      <c r="O112" s="387">
        <v>0</v>
      </c>
      <c r="P112" s="69">
        <v>0</v>
      </c>
      <c r="Q112" s="69">
        <v>0</v>
      </c>
      <c r="R112" s="69">
        <v>0</v>
      </c>
      <c r="S112" s="305">
        <f t="shared" si="70"/>
        <v>10080614.75</v>
      </c>
      <c r="T112" s="374">
        <v>2016</v>
      </c>
      <c r="U112" s="374">
        <v>2017</v>
      </c>
      <c r="V112" s="381">
        <f t="shared" si="69"/>
        <v>25</v>
      </c>
    </row>
    <row r="113" spans="1:23" s="111" customFormat="1" ht="18" customHeight="1" x14ac:dyDescent="0.25">
      <c r="A113" s="374">
        <f t="shared" si="68"/>
        <v>89</v>
      </c>
      <c r="B113" s="65" t="s">
        <v>565</v>
      </c>
      <c r="C113" s="352">
        <v>1954</v>
      </c>
      <c r="D113" s="223"/>
      <c r="E113" s="223"/>
      <c r="F113" s="126">
        <v>2883.2</v>
      </c>
      <c r="G113" s="224">
        <v>2239.8000000000002</v>
      </c>
      <c r="H113" s="305">
        <f t="shared" si="66"/>
        <v>6136984.8100000005</v>
      </c>
      <c r="I113" s="305">
        <v>0</v>
      </c>
      <c r="J113" s="305">
        <v>0</v>
      </c>
      <c r="K113" s="305">
        <f>ROUND(2239.8*1595.21,2)</f>
        <v>3572951.36</v>
      </c>
      <c r="L113" s="305">
        <v>0</v>
      </c>
      <c r="M113" s="305">
        <f>ROUND(2239.8*1144.76,2)-O113</f>
        <v>2445489.8000000003</v>
      </c>
      <c r="N113" s="305">
        <v>0</v>
      </c>
      <c r="O113" s="305">
        <v>118543.65</v>
      </c>
      <c r="P113" s="305">
        <v>0</v>
      </c>
      <c r="Q113" s="305">
        <v>0</v>
      </c>
      <c r="R113" s="305">
        <v>0</v>
      </c>
      <c r="S113" s="305">
        <f t="shared" si="70"/>
        <v>6136984.8100000005</v>
      </c>
      <c r="T113" s="374">
        <v>2016</v>
      </c>
      <c r="U113" s="374">
        <v>2017</v>
      </c>
      <c r="V113" s="381">
        <f t="shared" si="69"/>
        <v>26</v>
      </c>
      <c r="W113" s="111" t="s">
        <v>566</v>
      </c>
    </row>
    <row r="114" spans="1:23" s="111" customFormat="1" ht="18" customHeight="1" x14ac:dyDescent="0.25">
      <c r="A114" s="374">
        <f t="shared" si="68"/>
        <v>90</v>
      </c>
      <c r="B114" s="65" t="s">
        <v>567</v>
      </c>
      <c r="C114" s="352">
        <v>1959</v>
      </c>
      <c r="D114" s="374" t="s">
        <v>444</v>
      </c>
      <c r="E114" s="374"/>
      <c r="F114" s="224">
        <v>7307.9</v>
      </c>
      <c r="G114" s="224">
        <v>4410.6000000000004</v>
      </c>
      <c r="H114" s="305">
        <f t="shared" si="66"/>
        <v>3890590.26</v>
      </c>
      <c r="I114" s="69">
        <v>0</v>
      </c>
      <c r="J114" s="69">
        <v>0</v>
      </c>
      <c r="K114" s="69">
        <v>0</v>
      </c>
      <c r="L114" s="69">
        <v>0</v>
      </c>
      <c r="M114" s="305">
        <v>3890590.26</v>
      </c>
      <c r="N114" s="69">
        <v>0</v>
      </c>
      <c r="O114" s="69">
        <v>0</v>
      </c>
      <c r="P114" s="69">
        <v>0</v>
      </c>
      <c r="Q114" s="69">
        <v>0</v>
      </c>
      <c r="R114" s="69">
        <v>0</v>
      </c>
      <c r="S114" s="305">
        <f t="shared" si="70"/>
        <v>3890590.26</v>
      </c>
      <c r="T114" s="374">
        <v>2016</v>
      </c>
      <c r="U114" s="374">
        <v>2017</v>
      </c>
      <c r="V114" s="381">
        <f t="shared" si="69"/>
        <v>27</v>
      </c>
    </row>
    <row r="115" spans="1:23" s="111" customFormat="1" ht="18" customHeight="1" x14ac:dyDescent="0.25">
      <c r="A115" s="374">
        <f t="shared" si="68"/>
        <v>91</v>
      </c>
      <c r="B115" s="65" t="s">
        <v>568</v>
      </c>
      <c r="C115" s="352">
        <v>1955</v>
      </c>
      <c r="D115" s="374"/>
      <c r="E115" s="374"/>
      <c r="F115" s="224">
        <v>2319.1</v>
      </c>
      <c r="G115" s="224">
        <v>1909.3</v>
      </c>
      <c r="H115" s="305">
        <f t="shared" si="66"/>
        <v>5479041.8380000005</v>
      </c>
      <c r="I115" s="69">
        <v>0</v>
      </c>
      <c r="J115" s="69">
        <v>0</v>
      </c>
      <c r="K115" s="305">
        <f>G115*1724.9</f>
        <v>3293351.5700000003</v>
      </c>
      <c r="L115" s="69">
        <v>0</v>
      </c>
      <c r="M115" s="305">
        <f>G115*1144.76-O115</f>
        <v>2061738.5080000001</v>
      </c>
      <c r="N115" s="69">
        <v>0</v>
      </c>
      <c r="O115" s="305">
        <v>123951.76</v>
      </c>
      <c r="P115" s="69">
        <v>0</v>
      </c>
      <c r="Q115" s="69">
        <v>0</v>
      </c>
      <c r="R115" s="69">
        <v>0</v>
      </c>
      <c r="S115" s="305">
        <f t="shared" si="70"/>
        <v>5479041.8380000005</v>
      </c>
      <c r="T115" s="374">
        <v>2016</v>
      </c>
      <c r="U115" s="374">
        <v>2017</v>
      </c>
      <c r="V115" s="381">
        <f t="shared" si="69"/>
        <v>28</v>
      </c>
    </row>
    <row r="116" spans="1:23" s="111" customFormat="1" ht="18" customHeight="1" x14ac:dyDescent="0.25">
      <c r="A116" s="374">
        <f t="shared" si="68"/>
        <v>92</v>
      </c>
      <c r="B116" s="65" t="s">
        <v>569</v>
      </c>
      <c r="C116" s="352">
        <v>1957</v>
      </c>
      <c r="D116" s="374"/>
      <c r="E116" s="374"/>
      <c r="F116" s="224">
        <v>2744.6</v>
      </c>
      <c r="G116" s="224">
        <v>1693.5</v>
      </c>
      <c r="H116" s="305">
        <f t="shared" si="66"/>
        <v>2921118.1500000004</v>
      </c>
      <c r="I116" s="69">
        <v>0</v>
      </c>
      <c r="J116" s="69">
        <v>0</v>
      </c>
      <c r="K116" s="305">
        <f>G116*1724.9</f>
        <v>2921118.1500000004</v>
      </c>
      <c r="L116" s="69">
        <v>0</v>
      </c>
      <c r="M116" s="69">
        <v>0</v>
      </c>
      <c r="N116" s="69">
        <v>0</v>
      </c>
      <c r="O116" s="69">
        <v>0</v>
      </c>
      <c r="P116" s="69">
        <v>0</v>
      </c>
      <c r="Q116" s="69">
        <v>0</v>
      </c>
      <c r="R116" s="69">
        <v>0</v>
      </c>
      <c r="S116" s="305">
        <f t="shared" si="70"/>
        <v>2921118.1500000004</v>
      </c>
      <c r="T116" s="374">
        <v>2016</v>
      </c>
      <c r="U116" s="374">
        <v>2017</v>
      </c>
      <c r="V116" s="381">
        <f t="shared" si="69"/>
        <v>29</v>
      </c>
    </row>
    <row r="117" spans="1:23" s="111" customFormat="1" ht="18" customHeight="1" x14ac:dyDescent="0.25">
      <c r="A117" s="374">
        <f t="shared" si="68"/>
        <v>93</v>
      </c>
      <c r="B117" s="65" t="s">
        <v>570</v>
      </c>
      <c r="C117" s="352">
        <v>1935</v>
      </c>
      <c r="D117" s="374"/>
      <c r="E117" s="374"/>
      <c r="F117" s="224">
        <v>4213.8</v>
      </c>
      <c r="G117" s="224">
        <v>2873</v>
      </c>
      <c r="H117" s="305">
        <f t="shared" si="66"/>
        <v>7117311.6300000008</v>
      </c>
      <c r="I117" s="69">
        <v>0</v>
      </c>
      <c r="J117" s="69">
        <v>0</v>
      </c>
      <c r="K117" s="305">
        <v>4583038.33</v>
      </c>
      <c r="L117" s="69">
        <v>0</v>
      </c>
      <c r="M117" s="305">
        <v>2534273.3000000003</v>
      </c>
      <c r="N117" s="69">
        <v>0</v>
      </c>
      <c r="O117" s="69">
        <v>0</v>
      </c>
      <c r="P117" s="69">
        <v>0</v>
      </c>
      <c r="Q117" s="69">
        <v>0</v>
      </c>
      <c r="R117" s="69">
        <v>0</v>
      </c>
      <c r="S117" s="305">
        <f t="shared" si="70"/>
        <v>7117311.6300000008</v>
      </c>
      <c r="T117" s="374">
        <v>2016</v>
      </c>
      <c r="U117" s="374">
        <v>2017</v>
      </c>
      <c r="V117" s="381">
        <f t="shared" si="69"/>
        <v>30</v>
      </c>
    </row>
    <row r="118" spans="1:23" s="111" customFormat="1" ht="18" customHeight="1" x14ac:dyDescent="0.25">
      <c r="A118" s="374">
        <f t="shared" si="68"/>
        <v>94</v>
      </c>
      <c r="B118" s="65" t="s">
        <v>571</v>
      </c>
      <c r="C118" s="352">
        <v>1959</v>
      </c>
      <c r="D118" s="374" t="s">
        <v>444</v>
      </c>
      <c r="E118" s="374"/>
      <c r="F118" s="224">
        <v>4890.8999999999996</v>
      </c>
      <c r="G118" s="224">
        <v>3757.8</v>
      </c>
      <c r="H118" s="305">
        <f t="shared" si="66"/>
        <v>9309235.5199999996</v>
      </c>
      <c r="I118" s="69">
        <v>0</v>
      </c>
      <c r="J118" s="69">
        <v>0</v>
      </c>
      <c r="K118" s="305">
        <v>5994480.1399999997</v>
      </c>
      <c r="L118" s="69">
        <v>0</v>
      </c>
      <c r="M118" s="305">
        <v>3314755.38</v>
      </c>
      <c r="N118" s="69">
        <v>0</v>
      </c>
      <c r="O118" s="69">
        <v>0</v>
      </c>
      <c r="P118" s="69">
        <v>0</v>
      </c>
      <c r="Q118" s="69">
        <v>0</v>
      </c>
      <c r="R118" s="69">
        <v>0</v>
      </c>
      <c r="S118" s="305">
        <f t="shared" si="70"/>
        <v>9309235.5199999996</v>
      </c>
      <c r="T118" s="374">
        <v>2016</v>
      </c>
      <c r="U118" s="374">
        <v>2017</v>
      </c>
      <c r="V118" s="381">
        <f t="shared" si="69"/>
        <v>31</v>
      </c>
    </row>
    <row r="119" spans="1:23" s="111" customFormat="1" ht="18" customHeight="1" x14ac:dyDescent="0.25">
      <c r="A119" s="374">
        <f t="shared" si="68"/>
        <v>95</v>
      </c>
      <c r="B119" s="65" t="s">
        <v>572</v>
      </c>
      <c r="C119" s="352">
        <v>1949</v>
      </c>
      <c r="D119" s="374"/>
      <c r="E119" s="374"/>
      <c r="F119" s="126">
        <v>4115</v>
      </c>
      <c r="G119" s="224">
        <v>2960.3</v>
      </c>
      <c r="H119" s="305">
        <f t="shared" si="66"/>
        <v>3388833.0299999993</v>
      </c>
      <c r="I119" s="305">
        <v>0</v>
      </c>
      <c r="J119" s="305">
        <v>0</v>
      </c>
      <c r="K119" s="305">
        <v>0</v>
      </c>
      <c r="L119" s="305">
        <v>0</v>
      </c>
      <c r="M119" s="305">
        <f>ROUND(2960.3*1144.76,2)-O119</f>
        <v>3256251.7699999996</v>
      </c>
      <c r="N119" s="305">
        <v>0</v>
      </c>
      <c r="O119" s="305">
        <v>132581.26</v>
      </c>
      <c r="P119" s="305">
        <v>0</v>
      </c>
      <c r="Q119" s="305">
        <v>0</v>
      </c>
      <c r="R119" s="305">
        <v>0</v>
      </c>
      <c r="S119" s="305">
        <f t="shared" si="70"/>
        <v>3388833.0299999993</v>
      </c>
      <c r="T119" s="374">
        <v>2016</v>
      </c>
      <c r="U119" s="374">
        <v>2017</v>
      </c>
      <c r="V119" s="381">
        <f t="shared" si="69"/>
        <v>32</v>
      </c>
    </row>
    <row r="120" spans="1:23" s="111" customFormat="1" ht="18" customHeight="1" x14ac:dyDescent="0.25">
      <c r="A120" s="374">
        <f t="shared" si="68"/>
        <v>96</v>
      </c>
      <c r="B120" s="65" t="s">
        <v>573</v>
      </c>
      <c r="C120" s="352">
        <v>1958</v>
      </c>
      <c r="D120" s="223"/>
      <c r="E120" s="223"/>
      <c r="F120" s="126">
        <f>758.3+18</f>
        <v>776.3</v>
      </c>
      <c r="G120" s="224">
        <f>758.3</f>
        <v>758.3</v>
      </c>
      <c r="H120" s="305">
        <f t="shared" si="66"/>
        <v>289564.44</v>
      </c>
      <c r="I120" s="305">
        <f>ROUND(381.86*758.3,2)-O120</f>
        <v>273142.84999999998</v>
      </c>
      <c r="J120" s="305">
        <v>0</v>
      </c>
      <c r="K120" s="305">
        <v>0</v>
      </c>
      <c r="L120" s="305">
        <v>0</v>
      </c>
      <c r="M120" s="305">
        <v>0</v>
      </c>
      <c r="N120" s="305">
        <v>0</v>
      </c>
      <c r="O120" s="305">
        <v>16421.59</v>
      </c>
      <c r="P120" s="305">
        <v>0</v>
      </c>
      <c r="Q120" s="305">
        <v>0</v>
      </c>
      <c r="R120" s="305">
        <v>0</v>
      </c>
      <c r="S120" s="305">
        <f t="shared" si="70"/>
        <v>289564.44</v>
      </c>
      <c r="T120" s="374">
        <v>2016</v>
      </c>
      <c r="U120" s="374">
        <v>2017</v>
      </c>
      <c r="V120" s="381">
        <f t="shared" si="69"/>
        <v>33</v>
      </c>
    </row>
    <row r="121" spans="1:23" s="111" customFormat="1" ht="18" customHeight="1" x14ac:dyDescent="0.25">
      <c r="A121" s="374">
        <f t="shared" si="68"/>
        <v>97</v>
      </c>
      <c r="B121" s="65" t="s">
        <v>574</v>
      </c>
      <c r="C121" s="352">
        <v>1955</v>
      </c>
      <c r="D121" s="374"/>
      <c r="E121" s="374"/>
      <c r="F121" s="224">
        <v>3245.4</v>
      </c>
      <c r="G121" s="224">
        <v>2284.9</v>
      </c>
      <c r="H121" s="305">
        <f t="shared" si="66"/>
        <v>2615662.1240000003</v>
      </c>
      <c r="I121" s="69">
        <v>0</v>
      </c>
      <c r="J121" s="69">
        <v>0</v>
      </c>
      <c r="K121" s="69">
        <v>0</v>
      </c>
      <c r="L121" s="69">
        <v>0</v>
      </c>
      <c r="M121" s="305">
        <f>G121*1144.76-O121</f>
        <v>2479105.4440000001</v>
      </c>
      <c r="N121" s="69">
        <v>0</v>
      </c>
      <c r="O121" s="305">
        <v>136556.68</v>
      </c>
      <c r="P121" s="69">
        <v>0</v>
      </c>
      <c r="Q121" s="69">
        <v>0</v>
      </c>
      <c r="R121" s="69">
        <v>0</v>
      </c>
      <c r="S121" s="305">
        <f t="shared" si="70"/>
        <v>2615662.1240000003</v>
      </c>
      <c r="T121" s="374">
        <v>2016</v>
      </c>
      <c r="U121" s="374">
        <v>2017</v>
      </c>
      <c r="V121" s="381">
        <f t="shared" si="69"/>
        <v>34</v>
      </c>
    </row>
    <row r="122" spans="1:23" s="111" customFormat="1" ht="18" customHeight="1" x14ac:dyDescent="0.25">
      <c r="A122" s="374">
        <f t="shared" si="68"/>
        <v>98</v>
      </c>
      <c r="B122" s="65" t="s">
        <v>575</v>
      </c>
      <c r="C122" s="352">
        <v>1948</v>
      </c>
      <c r="D122" s="223"/>
      <c r="E122" s="223"/>
      <c r="F122" s="126">
        <v>1445.8</v>
      </c>
      <c r="G122" s="224">
        <v>828.4</v>
      </c>
      <c r="H122" s="305">
        <f t="shared" si="66"/>
        <v>4413325.8500000006</v>
      </c>
      <c r="I122" s="305">
        <v>0</v>
      </c>
      <c r="J122" s="305">
        <v>0</v>
      </c>
      <c r="K122" s="305">
        <f>ROUND(G122*3980.76,2)</f>
        <v>3297661.58</v>
      </c>
      <c r="L122" s="305">
        <v>0</v>
      </c>
      <c r="M122" s="305">
        <f>ROUND(G122*1346.77,2)-O122</f>
        <v>1052394.06</v>
      </c>
      <c r="N122" s="305">
        <v>0</v>
      </c>
      <c r="O122" s="305">
        <v>63270.21</v>
      </c>
      <c r="P122" s="305">
        <v>0</v>
      </c>
      <c r="Q122" s="305">
        <v>0</v>
      </c>
      <c r="R122" s="305">
        <v>0</v>
      </c>
      <c r="S122" s="305">
        <f t="shared" si="70"/>
        <v>4413325.8500000006</v>
      </c>
      <c r="T122" s="374">
        <v>2016</v>
      </c>
      <c r="U122" s="374">
        <v>2017</v>
      </c>
      <c r="V122" s="381">
        <f t="shared" si="69"/>
        <v>35</v>
      </c>
    </row>
    <row r="123" spans="1:23" s="111" customFormat="1" ht="18" customHeight="1" x14ac:dyDescent="0.25">
      <c r="A123" s="374">
        <f t="shared" si="68"/>
        <v>99</v>
      </c>
      <c r="B123" s="65" t="s">
        <v>576</v>
      </c>
      <c r="C123" s="352">
        <v>1959</v>
      </c>
      <c r="D123" s="223"/>
      <c r="E123" s="223"/>
      <c r="F123" s="126">
        <f>624.4+12</f>
        <v>636.4</v>
      </c>
      <c r="G123" s="224">
        <f>624.4</f>
        <v>624.4</v>
      </c>
      <c r="H123" s="305">
        <f t="shared" si="66"/>
        <v>441669.34</v>
      </c>
      <c r="I123" s="305">
        <f>ROUND(624.4*707.35,2)-O123</f>
        <v>415169.18000000005</v>
      </c>
      <c r="J123" s="305">
        <v>0</v>
      </c>
      <c r="K123" s="305">
        <v>0</v>
      </c>
      <c r="L123" s="305">
        <v>0</v>
      </c>
      <c r="M123" s="305">
        <v>0</v>
      </c>
      <c r="N123" s="305">
        <v>0</v>
      </c>
      <c r="O123" s="305">
        <v>26500.16</v>
      </c>
      <c r="P123" s="305">
        <v>0</v>
      </c>
      <c r="Q123" s="305">
        <v>0</v>
      </c>
      <c r="R123" s="305">
        <v>0</v>
      </c>
      <c r="S123" s="305">
        <f t="shared" si="70"/>
        <v>441669.34</v>
      </c>
      <c r="T123" s="374">
        <v>2016</v>
      </c>
      <c r="U123" s="374">
        <v>2017</v>
      </c>
      <c r="V123" s="381">
        <f t="shared" si="69"/>
        <v>36</v>
      </c>
    </row>
    <row r="124" spans="1:23" s="111" customFormat="1" ht="18" customHeight="1" x14ac:dyDescent="0.25">
      <c r="A124" s="374">
        <f t="shared" si="68"/>
        <v>100</v>
      </c>
      <c r="B124" s="65" t="s">
        <v>577</v>
      </c>
      <c r="C124" s="352">
        <v>1959</v>
      </c>
      <c r="D124" s="223"/>
      <c r="E124" s="223"/>
      <c r="F124" s="126">
        <f>631.3+12</f>
        <v>643.29999999999995</v>
      </c>
      <c r="G124" s="224">
        <f>631.3</f>
        <v>631.29999999999995</v>
      </c>
      <c r="H124" s="305">
        <f t="shared" si="66"/>
        <v>2513053.79</v>
      </c>
      <c r="I124" s="305">
        <v>0</v>
      </c>
      <c r="J124" s="305">
        <v>0</v>
      </c>
      <c r="K124" s="305">
        <f>ROUND(631.3*3980.76,2)</f>
        <v>2513053.79</v>
      </c>
      <c r="L124" s="305">
        <v>0</v>
      </c>
      <c r="M124" s="305">
        <v>0</v>
      </c>
      <c r="N124" s="305">
        <v>0</v>
      </c>
      <c r="O124" s="305">
        <v>0</v>
      </c>
      <c r="P124" s="305">
        <v>0</v>
      </c>
      <c r="Q124" s="305">
        <v>0</v>
      </c>
      <c r="R124" s="305">
        <v>0</v>
      </c>
      <c r="S124" s="305">
        <f t="shared" si="70"/>
        <v>2513053.79</v>
      </c>
      <c r="T124" s="374">
        <v>2016</v>
      </c>
      <c r="U124" s="374">
        <v>2017</v>
      </c>
      <c r="V124" s="381">
        <f t="shared" si="69"/>
        <v>37</v>
      </c>
    </row>
    <row r="125" spans="1:23" s="111" customFormat="1" ht="18" customHeight="1" x14ac:dyDescent="0.25">
      <c r="A125" s="374">
        <f t="shared" si="68"/>
        <v>101</v>
      </c>
      <c r="B125" s="65" t="s">
        <v>578</v>
      </c>
      <c r="C125" s="352">
        <v>1957</v>
      </c>
      <c r="D125" s="374"/>
      <c r="E125" s="374"/>
      <c r="F125" s="126">
        <v>5615.6</v>
      </c>
      <c r="G125" s="224">
        <v>3836.3</v>
      </c>
      <c r="H125" s="305">
        <f t="shared" si="66"/>
        <v>4391642.79</v>
      </c>
      <c r="I125" s="305">
        <v>0</v>
      </c>
      <c r="J125" s="305">
        <v>0</v>
      </c>
      <c r="K125" s="305">
        <v>0</v>
      </c>
      <c r="L125" s="305">
        <v>0</v>
      </c>
      <c r="M125" s="305">
        <f>ROUND(3836.3*1144.76,2)-O125</f>
        <v>4198337.55</v>
      </c>
      <c r="N125" s="305">
        <v>0</v>
      </c>
      <c r="O125" s="305">
        <v>193305.24</v>
      </c>
      <c r="P125" s="305">
        <v>0</v>
      </c>
      <c r="Q125" s="305">
        <v>0</v>
      </c>
      <c r="R125" s="305">
        <v>0</v>
      </c>
      <c r="S125" s="305">
        <f t="shared" si="70"/>
        <v>4391642.79</v>
      </c>
      <c r="T125" s="374">
        <v>2016</v>
      </c>
      <c r="U125" s="374">
        <v>2017</v>
      </c>
      <c r="V125" s="381">
        <f t="shared" si="69"/>
        <v>38</v>
      </c>
    </row>
    <row r="126" spans="1:23" s="111" customFormat="1" ht="18" customHeight="1" x14ac:dyDescent="0.25">
      <c r="A126" s="374">
        <f t="shared" si="68"/>
        <v>102</v>
      </c>
      <c r="B126" s="65" t="s">
        <v>579</v>
      </c>
      <c r="C126" s="352">
        <v>1948</v>
      </c>
      <c r="D126" s="374" t="s">
        <v>444</v>
      </c>
      <c r="E126" s="374"/>
      <c r="F126" s="224">
        <v>1690.7</v>
      </c>
      <c r="G126" s="224">
        <v>1200.5</v>
      </c>
      <c r="H126" s="305">
        <f t="shared" si="66"/>
        <v>1447190.75</v>
      </c>
      <c r="I126" s="69">
        <f>ROUND((151+215+321.45+518.04)*G126,2)</f>
        <v>1447190.75</v>
      </c>
      <c r="J126" s="69">
        <v>0</v>
      </c>
      <c r="K126" s="69">
        <v>0</v>
      </c>
      <c r="L126" s="69">
        <v>0</v>
      </c>
      <c r="M126" s="69">
        <v>0</v>
      </c>
      <c r="N126" s="69">
        <v>0</v>
      </c>
      <c r="O126" s="69">
        <v>0</v>
      </c>
      <c r="P126" s="69">
        <v>0</v>
      </c>
      <c r="Q126" s="69">
        <v>0</v>
      </c>
      <c r="R126" s="69">
        <v>0</v>
      </c>
      <c r="S126" s="305">
        <f t="shared" si="70"/>
        <v>1447190.75</v>
      </c>
      <c r="T126" s="374">
        <v>2016</v>
      </c>
      <c r="U126" s="374">
        <v>2017</v>
      </c>
      <c r="V126" s="381">
        <f t="shared" si="69"/>
        <v>39</v>
      </c>
    </row>
    <row r="127" spans="1:23" s="111" customFormat="1" ht="18" customHeight="1" x14ac:dyDescent="0.25">
      <c r="A127" s="374">
        <f t="shared" si="68"/>
        <v>103</v>
      </c>
      <c r="B127" s="65" t="s">
        <v>580</v>
      </c>
      <c r="C127" s="352">
        <v>1939</v>
      </c>
      <c r="D127" s="223" t="s">
        <v>444</v>
      </c>
      <c r="E127" s="223"/>
      <c r="F127" s="126">
        <v>3324.9</v>
      </c>
      <c r="G127" s="224">
        <v>2434.4</v>
      </c>
      <c r="H127" s="305">
        <f t="shared" si="66"/>
        <v>9574470.8499999996</v>
      </c>
      <c r="I127" s="305">
        <v>0</v>
      </c>
      <c r="J127" s="305">
        <v>0</v>
      </c>
      <c r="K127" s="305">
        <f>ROUND(2434.4*1595.21,2)</f>
        <v>3883379.22</v>
      </c>
      <c r="L127" s="305">
        <v>0</v>
      </c>
      <c r="M127" s="305">
        <f>ROUND(2434.4*2337.78,2)</f>
        <v>5691091.6299999999</v>
      </c>
      <c r="N127" s="305">
        <v>0</v>
      </c>
      <c r="O127" s="305">
        <v>0</v>
      </c>
      <c r="P127" s="305">
        <v>0</v>
      </c>
      <c r="Q127" s="305">
        <v>0</v>
      </c>
      <c r="R127" s="305">
        <v>0</v>
      </c>
      <c r="S127" s="305">
        <f t="shared" si="70"/>
        <v>9574470.8499999996</v>
      </c>
      <c r="T127" s="374">
        <v>2016</v>
      </c>
      <c r="U127" s="374">
        <v>2017</v>
      </c>
      <c r="V127" s="381">
        <f t="shared" si="69"/>
        <v>40</v>
      </c>
    </row>
    <row r="128" spans="1:23" s="111" customFormat="1" ht="18" customHeight="1" x14ac:dyDescent="0.25">
      <c r="A128" s="374">
        <f t="shared" si="68"/>
        <v>104</v>
      </c>
      <c r="B128" s="65" t="s">
        <v>581</v>
      </c>
      <c r="C128" s="352">
        <v>1939</v>
      </c>
      <c r="D128" s="374" t="s">
        <v>444</v>
      </c>
      <c r="E128" s="374"/>
      <c r="F128" s="224">
        <v>4378.5</v>
      </c>
      <c r="G128" s="224">
        <v>2286</v>
      </c>
      <c r="H128" s="305">
        <f t="shared" si="66"/>
        <v>8990815.1400000006</v>
      </c>
      <c r="I128" s="69">
        <v>0</v>
      </c>
      <c r="J128" s="69">
        <v>0</v>
      </c>
      <c r="K128" s="305">
        <v>3646650.06</v>
      </c>
      <c r="L128" s="69">
        <v>0</v>
      </c>
      <c r="M128" s="305">
        <v>5344165.08</v>
      </c>
      <c r="N128" s="69">
        <v>0</v>
      </c>
      <c r="O128" s="69">
        <v>0</v>
      </c>
      <c r="P128" s="69">
        <v>0</v>
      </c>
      <c r="Q128" s="69">
        <v>0</v>
      </c>
      <c r="R128" s="69">
        <v>0</v>
      </c>
      <c r="S128" s="305">
        <f t="shared" si="70"/>
        <v>8990815.1400000006</v>
      </c>
      <c r="T128" s="374">
        <v>2016</v>
      </c>
      <c r="U128" s="374">
        <v>2017</v>
      </c>
      <c r="V128" s="381">
        <f t="shared" si="69"/>
        <v>41</v>
      </c>
    </row>
    <row r="129" spans="1:25" s="111" customFormat="1" ht="18" customHeight="1" x14ac:dyDescent="0.25">
      <c r="A129" s="374">
        <f t="shared" si="68"/>
        <v>105</v>
      </c>
      <c r="B129" s="65" t="s">
        <v>582</v>
      </c>
      <c r="C129" s="352">
        <v>1958</v>
      </c>
      <c r="D129" s="374"/>
      <c r="E129" s="374"/>
      <c r="F129" s="126">
        <v>11383.3</v>
      </c>
      <c r="G129" s="224">
        <v>9132.4</v>
      </c>
      <c r="H129" s="305">
        <f t="shared" si="66"/>
        <v>11467919.98</v>
      </c>
      <c r="I129" s="305">
        <v>0</v>
      </c>
      <c r="J129" s="305">
        <v>0</v>
      </c>
      <c r="K129" s="305">
        <v>0</v>
      </c>
      <c r="L129" s="305">
        <v>0</v>
      </c>
      <c r="M129" s="386">
        <f>ROUND(9132.4*1255.74,2)-O129</f>
        <v>11156325.640000001</v>
      </c>
      <c r="N129" s="305">
        <v>0</v>
      </c>
      <c r="O129" s="305">
        <v>311594.34000000003</v>
      </c>
      <c r="P129" s="305">
        <v>0</v>
      </c>
      <c r="Q129" s="305">
        <v>0</v>
      </c>
      <c r="R129" s="305">
        <v>0</v>
      </c>
      <c r="S129" s="305">
        <f t="shared" si="70"/>
        <v>11467919.98</v>
      </c>
      <c r="T129" s="374">
        <v>2016</v>
      </c>
      <c r="U129" s="374">
        <v>2017</v>
      </c>
      <c r="V129" s="381">
        <f t="shared" si="69"/>
        <v>42</v>
      </c>
    </row>
    <row r="130" spans="1:25" s="111" customFormat="1" ht="18" customHeight="1" x14ac:dyDescent="0.25">
      <c r="A130" s="374">
        <f t="shared" si="68"/>
        <v>106</v>
      </c>
      <c r="B130" s="65" t="s">
        <v>583</v>
      </c>
      <c r="C130" s="352">
        <v>1941</v>
      </c>
      <c r="D130" s="374"/>
      <c r="E130" s="374"/>
      <c r="F130" s="224">
        <v>3299.3</v>
      </c>
      <c r="G130" s="224">
        <v>1902.2</v>
      </c>
      <c r="H130" s="305">
        <f t="shared" si="66"/>
        <v>2586535.4700000002</v>
      </c>
      <c r="I130" s="69">
        <v>408973</v>
      </c>
      <c r="J130" s="69">
        <v>0</v>
      </c>
      <c r="K130" s="69">
        <v>0</v>
      </c>
      <c r="L130" s="69">
        <v>0</v>
      </c>
      <c r="M130" s="69">
        <f>ROUND(1144.76*G130,2)-O130</f>
        <v>2054071.6500000001</v>
      </c>
      <c r="N130" s="69">
        <v>0</v>
      </c>
      <c r="O130" s="69">
        <v>123490.82</v>
      </c>
      <c r="P130" s="69">
        <v>0</v>
      </c>
      <c r="Q130" s="69">
        <v>0</v>
      </c>
      <c r="R130" s="69">
        <v>0</v>
      </c>
      <c r="S130" s="305">
        <f t="shared" si="70"/>
        <v>2586535.4700000002</v>
      </c>
      <c r="T130" s="374">
        <v>2016</v>
      </c>
      <c r="U130" s="374">
        <v>2017</v>
      </c>
      <c r="V130" s="381">
        <f t="shared" si="69"/>
        <v>43</v>
      </c>
      <c r="W130" s="111" t="s">
        <v>566</v>
      </c>
    </row>
    <row r="131" spans="1:25" s="111" customFormat="1" ht="18" customHeight="1" x14ac:dyDescent="0.25">
      <c r="A131" s="374">
        <f t="shared" si="68"/>
        <v>107</v>
      </c>
      <c r="B131" s="65" t="s">
        <v>584</v>
      </c>
      <c r="C131" s="352">
        <v>1952</v>
      </c>
      <c r="D131" s="374" t="s">
        <v>444</v>
      </c>
      <c r="E131" s="374"/>
      <c r="F131" s="126">
        <v>1812.7</v>
      </c>
      <c r="G131" s="224">
        <v>1401.3</v>
      </c>
      <c r="H131" s="305">
        <f t="shared" si="66"/>
        <v>3275931.11</v>
      </c>
      <c r="I131" s="305">
        <v>0</v>
      </c>
      <c r="J131" s="305">
        <v>0</v>
      </c>
      <c r="K131" s="305">
        <v>0</v>
      </c>
      <c r="L131" s="305">
        <v>0</v>
      </c>
      <c r="M131" s="305">
        <f>ROUND(1401.3*2337.78,2)</f>
        <v>3275931.11</v>
      </c>
      <c r="N131" s="305">
        <v>0</v>
      </c>
      <c r="O131" s="305"/>
      <c r="P131" s="305">
        <v>0</v>
      </c>
      <c r="Q131" s="305">
        <v>0</v>
      </c>
      <c r="R131" s="305">
        <v>0</v>
      </c>
      <c r="S131" s="305">
        <f t="shared" si="70"/>
        <v>3275931.11</v>
      </c>
      <c r="T131" s="374">
        <v>2016</v>
      </c>
      <c r="U131" s="374">
        <v>2017</v>
      </c>
      <c r="V131" s="381">
        <f t="shared" si="69"/>
        <v>44</v>
      </c>
    </row>
    <row r="132" spans="1:25" s="111" customFormat="1" ht="18" customHeight="1" x14ac:dyDescent="0.25">
      <c r="A132" s="374">
        <f t="shared" si="68"/>
        <v>108</v>
      </c>
      <c r="B132" s="65" t="s">
        <v>585</v>
      </c>
      <c r="C132" s="352">
        <v>1959</v>
      </c>
      <c r="D132" s="374"/>
      <c r="E132" s="374"/>
      <c r="F132" s="224">
        <v>1209.4000000000001</v>
      </c>
      <c r="G132" s="224">
        <v>1087.8</v>
      </c>
      <c r="H132" s="305">
        <f t="shared" si="66"/>
        <v>415387.30800000002</v>
      </c>
      <c r="I132" s="69">
        <f>G132*381.86-O132</f>
        <v>391830.12800000003</v>
      </c>
      <c r="J132" s="69">
        <v>0</v>
      </c>
      <c r="K132" s="69">
        <v>0</v>
      </c>
      <c r="L132" s="69">
        <v>0</v>
      </c>
      <c r="M132" s="69">
        <v>0</v>
      </c>
      <c r="N132" s="69">
        <v>0</v>
      </c>
      <c r="O132" s="69">
        <v>23557.18</v>
      </c>
      <c r="P132" s="69">
        <v>0</v>
      </c>
      <c r="Q132" s="69">
        <v>0</v>
      </c>
      <c r="R132" s="69">
        <v>0</v>
      </c>
      <c r="S132" s="305">
        <f t="shared" si="70"/>
        <v>415387.30800000002</v>
      </c>
      <c r="T132" s="374">
        <v>2016</v>
      </c>
      <c r="U132" s="374">
        <v>2017</v>
      </c>
      <c r="V132" s="381">
        <f t="shared" si="69"/>
        <v>45</v>
      </c>
    </row>
    <row r="133" spans="1:25" s="111" customFormat="1" ht="18" customHeight="1" x14ac:dyDescent="0.25">
      <c r="A133" s="374">
        <f t="shared" si="68"/>
        <v>109</v>
      </c>
      <c r="B133" s="65" t="s">
        <v>586</v>
      </c>
      <c r="C133" s="352">
        <v>1956</v>
      </c>
      <c r="D133" s="223" t="s">
        <v>444</v>
      </c>
      <c r="E133" s="223"/>
      <c r="F133" s="126">
        <v>4311.8999999999996</v>
      </c>
      <c r="G133" s="224">
        <v>2881.3</v>
      </c>
      <c r="H133" s="305">
        <f t="shared" si="66"/>
        <v>6735845.5099999998</v>
      </c>
      <c r="I133" s="305">
        <v>0</v>
      </c>
      <c r="J133" s="305">
        <v>0</v>
      </c>
      <c r="K133" s="305">
        <v>0</v>
      </c>
      <c r="L133" s="305">
        <v>0</v>
      </c>
      <c r="M133" s="305">
        <f>ROUND(2881.3*2337.78,2)</f>
        <v>6735845.5099999998</v>
      </c>
      <c r="N133" s="305">
        <v>0</v>
      </c>
      <c r="O133" s="305">
        <v>0</v>
      </c>
      <c r="P133" s="305">
        <v>0</v>
      </c>
      <c r="Q133" s="305">
        <v>0</v>
      </c>
      <c r="R133" s="305">
        <v>0</v>
      </c>
      <c r="S133" s="305">
        <f t="shared" si="70"/>
        <v>6735845.5099999998</v>
      </c>
      <c r="T133" s="374">
        <v>2016</v>
      </c>
      <c r="U133" s="374">
        <v>2017</v>
      </c>
      <c r="V133" s="381">
        <f t="shared" si="69"/>
        <v>46</v>
      </c>
    </row>
    <row r="134" spans="1:25" s="111" customFormat="1" ht="18" customHeight="1" x14ac:dyDescent="0.25">
      <c r="A134" s="374">
        <f t="shared" si="68"/>
        <v>110</v>
      </c>
      <c r="B134" s="65" t="s">
        <v>587</v>
      </c>
      <c r="C134" s="352">
        <v>1955</v>
      </c>
      <c r="D134" s="374" t="s">
        <v>444</v>
      </c>
      <c r="E134" s="374"/>
      <c r="F134" s="224">
        <v>2501.6999999999998</v>
      </c>
      <c r="G134" s="224">
        <v>1913.9</v>
      </c>
      <c r="H134" s="305">
        <f t="shared" si="66"/>
        <v>4474277.1399999997</v>
      </c>
      <c r="I134" s="69">
        <v>0</v>
      </c>
      <c r="J134" s="69">
        <v>0</v>
      </c>
      <c r="K134" s="69">
        <v>0</v>
      </c>
      <c r="L134" s="69">
        <v>0</v>
      </c>
      <c r="M134" s="305">
        <v>4474277.1399999997</v>
      </c>
      <c r="N134" s="69">
        <v>0</v>
      </c>
      <c r="O134" s="69">
        <v>0</v>
      </c>
      <c r="P134" s="69">
        <v>0</v>
      </c>
      <c r="Q134" s="69">
        <v>0</v>
      </c>
      <c r="R134" s="69">
        <v>0</v>
      </c>
      <c r="S134" s="305">
        <f t="shared" si="70"/>
        <v>4474277.1399999997</v>
      </c>
      <c r="T134" s="374">
        <v>2016</v>
      </c>
      <c r="U134" s="374">
        <v>2017</v>
      </c>
      <c r="V134" s="381">
        <f t="shared" si="69"/>
        <v>47</v>
      </c>
    </row>
    <row r="135" spans="1:25" s="111" customFormat="1" ht="18" customHeight="1" x14ac:dyDescent="0.25">
      <c r="A135" s="374">
        <f t="shared" si="68"/>
        <v>111</v>
      </c>
      <c r="B135" s="65" t="s">
        <v>588</v>
      </c>
      <c r="C135" s="352">
        <v>1953</v>
      </c>
      <c r="D135" s="374" t="s">
        <v>444</v>
      </c>
      <c r="E135" s="374"/>
      <c r="F135" s="224">
        <v>1872</v>
      </c>
      <c r="G135" s="224">
        <v>1114.4000000000001</v>
      </c>
      <c r="H135" s="305">
        <f t="shared" si="66"/>
        <v>2605222.0299999998</v>
      </c>
      <c r="I135" s="69">
        <v>0</v>
      </c>
      <c r="J135" s="69">
        <v>0</v>
      </c>
      <c r="K135" s="69">
        <v>0</v>
      </c>
      <c r="L135" s="69">
        <v>0</v>
      </c>
      <c r="M135" s="305">
        <v>2605222.0299999998</v>
      </c>
      <c r="N135" s="69">
        <v>0</v>
      </c>
      <c r="O135" s="69">
        <v>0</v>
      </c>
      <c r="P135" s="69">
        <v>0</v>
      </c>
      <c r="Q135" s="69">
        <v>0</v>
      </c>
      <c r="R135" s="69">
        <v>0</v>
      </c>
      <c r="S135" s="305">
        <f t="shared" si="70"/>
        <v>2605222.0299999998</v>
      </c>
      <c r="T135" s="374">
        <v>2016</v>
      </c>
      <c r="U135" s="374">
        <v>2017</v>
      </c>
      <c r="V135" s="381">
        <f t="shared" si="69"/>
        <v>48</v>
      </c>
    </row>
    <row r="136" spans="1:25" s="111" customFormat="1" ht="18" customHeight="1" x14ac:dyDescent="0.25">
      <c r="A136" s="374">
        <f t="shared" si="68"/>
        <v>112</v>
      </c>
      <c r="B136" s="65" t="s">
        <v>589</v>
      </c>
      <c r="C136" s="352">
        <v>1950</v>
      </c>
      <c r="D136" s="374"/>
      <c r="E136" s="374"/>
      <c r="F136" s="126">
        <v>716.5</v>
      </c>
      <c r="G136" s="224">
        <v>665.3</v>
      </c>
      <c r="H136" s="305">
        <f t="shared" si="66"/>
        <v>896006.08</v>
      </c>
      <c r="I136" s="305">
        <v>0</v>
      </c>
      <c r="J136" s="305">
        <v>0</v>
      </c>
      <c r="K136" s="305">
        <v>0</v>
      </c>
      <c r="L136" s="305">
        <v>0</v>
      </c>
      <c r="M136" s="305">
        <f>ROUND(665.3*1346.77,2)-O136</f>
        <v>845192.86</v>
      </c>
      <c r="N136" s="305">
        <v>0</v>
      </c>
      <c r="O136" s="305">
        <v>50813.22</v>
      </c>
      <c r="P136" s="305">
        <v>0</v>
      </c>
      <c r="Q136" s="305">
        <v>0</v>
      </c>
      <c r="R136" s="305">
        <v>0</v>
      </c>
      <c r="S136" s="305">
        <f t="shared" si="70"/>
        <v>896006.08</v>
      </c>
      <c r="T136" s="374">
        <v>2016</v>
      </c>
      <c r="U136" s="374">
        <v>2017</v>
      </c>
      <c r="V136" s="381">
        <f t="shared" si="69"/>
        <v>49</v>
      </c>
    </row>
    <row r="137" spans="1:25" s="111" customFormat="1" ht="18" customHeight="1" x14ac:dyDescent="0.25">
      <c r="A137" s="374">
        <f t="shared" si="68"/>
        <v>113</v>
      </c>
      <c r="B137" s="65" t="s">
        <v>590</v>
      </c>
      <c r="C137" s="352">
        <v>1956</v>
      </c>
      <c r="D137" s="223"/>
      <c r="E137" s="223"/>
      <c r="F137" s="126">
        <v>2052.4</v>
      </c>
      <c r="G137" s="224">
        <v>1448.1</v>
      </c>
      <c r="H137" s="305">
        <f t="shared" si="66"/>
        <v>4064671.8899999997</v>
      </c>
      <c r="I137" s="305">
        <v>0</v>
      </c>
      <c r="J137" s="305">
        <v>0</v>
      </c>
      <c r="K137" s="305">
        <f>ROUND(1448.1*1724.9,2)</f>
        <v>2497827.69</v>
      </c>
      <c r="L137" s="305">
        <v>0</v>
      </c>
      <c r="M137" s="305">
        <f>ROUND(1448.1*1082,2)</f>
        <v>1566844.2</v>
      </c>
      <c r="N137" s="305">
        <v>0</v>
      </c>
      <c r="O137" s="305">
        <v>0</v>
      </c>
      <c r="P137" s="305">
        <v>0</v>
      </c>
      <c r="Q137" s="305">
        <v>0</v>
      </c>
      <c r="R137" s="305">
        <v>0</v>
      </c>
      <c r="S137" s="305">
        <f t="shared" si="70"/>
        <v>4064671.8899999997</v>
      </c>
      <c r="T137" s="374">
        <v>2016</v>
      </c>
      <c r="U137" s="374">
        <v>2017</v>
      </c>
      <c r="V137" s="381">
        <f t="shared" si="69"/>
        <v>50</v>
      </c>
    </row>
    <row r="138" spans="1:25" s="111" customFormat="1" ht="18" customHeight="1" x14ac:dyDescent="0.25">
      <c r="A138" s="374">
        <f t="shared" si="68"/>
        <v>114</v>
      </c>
      <c r="B138" s="65" t="s">
        <v>591</v>
      </c>
      <c r="C138" s="352">
        <v>1955</v>
      </c>
      <c r="D138" s="374" t="s">
        <v>444</v>
      </c>
      <c r="E138" s="374"/>
      <c r="F138" s="224">
        <v>6911.1</v>
      </c>
      <c r="G138" s="224">
        <v>4964.8</v>
      </c>
      <c r="H138" s="305">
        <f t="shared" si="66"/>
        <v>19526508.75</v>
      </c>
      <c r="I138" s="69">
        <v>0</v>
      </c>
      <c r="J138" s="69">
        <v>0</v>
      </c>
      <c r="K138" s="305">
        <v>7919898.6100000003</v>
      </c>
      <c r="L138" s="69">
        <v>0</v>
      </c>
      <c r="M138" s="305">
        <v>11606610.140000001</v>
      </c>
      <c r="N138" s="69">
        <v>0</v>
      </c>
      <c r="O138" s="69">
        <v>0</v>
      </c>
      <c r="P138" s="69">
        <v>0</v>
      </c>
      <c r="Q138" s="69">
        <v>0</v>
      </c>
      <c r="R138" s="69">
        <v>0</v>
      </c>
      <c r="S138" s="305">
        <f t="shared" si="70"/>
        <v>19526508.75</v>
      </c>
      <c r="T138" s="374">
        <v>2016</v>
      </c>
      <c r="U138" s="374">
        <v>2017</v>
      </c>
      <c r="V138" s="381">
        <f t="shared" si="69"/>
        <v>51</v>
      </c>
    </row>
    <row r="139" spans="1:25" s="111" customFormat="1" ht="18" customHeight="1" x14ac:dyDescent="0.25">
      <c r="A139" s="374">
        <f t="shared" si="68"/>
        <v>115</v>
      </c>
      <c r="B139" s="65" t="s">
        <v>592</v>
      </c>
      <c r="C139" s="352">
        <v>1935</v>
      </c>
      <c r="D139" s="223" t="s">
        <v>444</v>
      </c>
      <c r="E139" s="223"/>
      <c r="F139" s="126">
        <v>2991</v>
      </c>
      <c r="G139" s="224">
        <v>1936.5</v>
      </c>
      <c r="H139" s="305">
        <f t="shared" si="66"/>
        <v>4527110.97</v>
      </c>
      <c r="I139" s="305">
        <v>0</v>
      </c>
      <c r="J139" s="305">
        <v>0</v>
      </c>
      <c r="K139" s="305">
        <v>0</v>
      </c>
      <c r="L139" s="305">
        <v>0</v>
      </c>
      <c r="M139" s="305">
        <f>ROUND(1936.5*2337.78,2)</f>
        <v>4527110.97</v>
      </c>
      <c r="N139" s="305">
        <v>0</v>
      </c>
      <c r="O139" s="305">
        <v>0</v>
      </c>
      <c r="P139" s="305">
        <v>0</v>
      </c>
      <c r="Q139" s="305">
        <v>0</v>
      </c>
      <c r="R139" s="305">
        <v>0</v>
      </c>
      <c r="S139" s="305">
        <f t="shared" si="70"/>
        <v>4527110.97</v>
      </c>
      <c r="T139" s="374">
        <v>2016</v>
      </c>
      <c r="U139" s="374">
        <v>2017</v>
      </c>
      <c r="V139" s="381">
        <f t="shared" si="69"/>
        <v>52</v>
      </c>
    </row>
    <row r="140" spans="1:25" s="23" customFormat="1" ht="18" customHeight="1" x14ac:dyDescent="0.25">
      <c r="A140" s="374">
        <f t="shared" si="68"/>
        <v>116</v>
      </c>
      <c r="B140" s="34" t="s">
        <v>42</v>
      </c>
      <c r="C140" s="191" t="s">
        <v>89</v>
      </c>
      <c r="D140" s="191"/>
      <c r="E140" s="191"/>
      <c r="F140" s="299">
        <v>3705.2</v>
      </c>
      <c r="G140" s="202">
        <v>3387.4</v>
      </c>
      <c r="H140" s="169">
        <f t="shared" si="66"/>
        <v>5051629.62</v>
      </c>
      <c r="I140" s="169">
        <f>ROUND((214.38+293.24+267.62+716.06)*G140,2)-O140</f>
        <v>4748531.84</v>
      </c>
      <c r="J140" s="169">
        <v>0</v>
      </c>
      <c r="K140" s="169">
        <v>0</v>
      </c>
      <c r="L140" s="169">
        <v>0</v>
      </c>
      <c r="M140" s="169">
        <v>0</v>
      </c>
      <c r="N140" s="169">
        <v>0</v>
      </c>
      <c r="O140" s="169">
        <v>303097.78000000003</v>
      </c>
      <c r="P140" s="169">
        <v>0</v>
      </c>
      <c r="Q140" s="169">
        <v>0</v>
      </c>
      <c r="R140" s="169">
        <v>0</v>
      </c>
      <c r="S140" s="171">
        <f t="shared" si="70"/>
        <v>5051629.62</v>
      </c>
      <c r="T140" s="374">
        <v>2017</v>
      </c>
      <c r="U140" s="374">
        <v>2017</v>
      </c>
      <c r="V140" s="374">
        <v>1</v>
      </c>
      <c r="W140" s="148" t="s">
        <v>141</v>
      </c>
      <c r="X140" s="149">
        <v>5</v>
      </c>
      <c r="Y140" s="150" t="s">
        <v>153</v>
      </c>
    </row>
    <row r="141" spans="1:25" s="23" customFormat="1" ht="18" customHeight="1" x14ac:dyDescent="0.25">
      <c r="A141" s="374">
        <f t="shared" si="68"/>
        <v>117</v>
      </c>
      <c r="B141" s="34" t="s">
        <v>161</v>
      </c>
      <c r="C141" s="191" t="s">
        <v>89</v>
      </c>
      <c r="D141" s="191"/>
      <c r="E141" s="191"/>
      <c r="F141" s="299">
        <v>3752.8</v>
      </c>
      <c r="G141" s="202">
        <v>3736.3</v>
      </c>
      <c r="H141" s="169">
        <f t="shared" si="66"/>
        <v>5612109.4199999999</v>
      </c>
      <c r="I141" s="169">
        <f>ROUND((191.67+290.35+292.97+727.06)*G141,2)-O141</f>
        <v>5347395.3</v>
      </c>
      <c r="J141" s="169">
        <v>0</v>
      </c>
      <c r="K141" s="169">
        <v>0</v>
      </c>
      <c r="L141" s="169">
        <v>0</v>
      </c>
      <c r="M141" s="169">
        <v>0</v>
      </c>
      <c r="N141" s="169">
        <v>0</v>
      </c>
      <c r="O141" s="169">
        <v>264714.12</v>
      </c>
      <c r="P141" s="169">
        <v>0</v>
      </c>
      <c r="Q141" s="169">
        <v>0</v>
      </c>
      <c r="R141" s="169">
        <v>0</v>
      </c>
      <c r="S141" s="171">
        <f t="shared" si="70"/>
        <v>5612109.4199999999</v>
      </c>
      <c r="T141" s="374">
        <v>2017</v>
      </c>
      <c r="U141" s="374">
        <v>2017</v>
      </c>
      <c r="V141" s="374">
        <f>V140+1</f>
        <v>2</v>
      </c>
      <c r="W141" s="148" t="s">
        <v>142</v>
      </c>
      <c r="X141" s="149">
        <v>5</v>
      </c>
      <c r="Y141" s="150" t="s">
        <v>152</v>
      </c>
    </row>
    <row r="142" spans="1:25" s="23" customFormat="1" ht="18" customHeight="1" x14ac:dyDescent="0.25">
      <c r="A142" s="374">
        <f t="shared" si="68"/>
        <v>118</v>
      </c>
      <c r="B142" s="323" t="s">
        <v>104</v>
      </c>
      <c r="C142" s="191" t="s">
        <v>427</v>
      </c>
      <c r="D142" s="191"/>
      <c r="E142" s="191"/>
      <c r="F142" s="299">
        <v>3456.9</v>
      </c>
      <c r="G142" s="202">
        <v>3412.6</v>
      </c>
      <c r="H142" s="169">
        <f t="shared" ref="H142:H205" si="71">I142+J142+K142+L142+M142+N142+O142</f>
        <v>4135047.42</v>
      </c>
      <c r="I142" s="169">
        <f>ROUND((191.67+292.97+727.06)*G142,2)-O142</f>
        <v>3894096.14</v>
      </c>
      <c r="J142" s="169">
        <v>0</v>
      </c>
      <c r="K142" s="169">
        <v>0</v>
      </c>
      <c r="L142" s="169">
        <v>0</v>
      </c>
      <c r="M142" s="169">
        <v>0</v>
      </c>
      <c r="N142" s="169">
        <v>0</v>
      </c>
      <c r="O142" s="169">
        <v>240951.28</v>
      </c>
      <c r="P142" s="169">
        <v>0</v>
      </c>
      <c r="Q142" s="169">
        <v>0</v>
      </c>
      <c r="R142" s="169">
        <v>0</v>
      </c>
      <c r="S142" s="171">
        <f t="shared" si="70"/>
        <v>4135047.42</v>
      </c>
      <c r="T142" s="374">
        <v>2017</v>
      </c>
      <c r="U142" s="374">
        <v>2017</v>
      </c>
      <c r="V142" s="374">
        <f t="shared" ref="V142:V205" si="72">V141+1</f>
        <v>3</v>
      </c>
      <c r="W142" s="148" t="s">
        <v>142</v>
      </c>
      <c r="X142" s="149">
        <v>5</v>
      </c>
      <c r="Y142" s="150" t="s">
        <v>152</v>
      </c>
    </row>
    <row r="143" spans="1:25" s="23" customFormat="1" ht="18" customHeight="1" x14ac:dyDescent="0.25">
      <c r="A143" s="374">
        <f t="shared" si="68"/>
        <v>119</v>
      </c>
      <c r="B143" s="323" t="s">
        <v>43</v>
      </c>
      <c r="C143" s="191" t="s">
        <v>427</v>
      </c>
      <c r="D143" s="191"/>
      <c r="E143" s="191"/>
      <c r="F143" s="299">
        <v>2849.7</v>
      </c>
      <c r="G143" s="202">
        <v>2400.1</v>
      </c>
      <c r="H143" s="169">
        <f t="shared" si="71"/>
        <v>2747538.48</v>
      </c>
      <c r="I143" s="169">
        <v>0</v>
      </c>
      <c r="J143" s="169">
        <v>0</v>
      </c>
      <c r="K143" s="169">
        <v>0</v>
      </c>
      <c r="L143" s="169">
        <v>0</v>
      </c>
      <c r="M143" s="170">
        <f>ROUND(1144.76*G143,2)-O143</f>
        <v>2616722.5</v>
      </c>
      <c r="N143" s="169">
        <v>0</v>
      </c>
      <c r="O143" s="169">
        <v>130815.98</v>
      </c>
      <c r="P143" s="169">
        <v>0</v>
      </c>
      <c r="Q143" s="169">
        <v>0</v>
      </c>
      <c r="R143" s="169">
        <v>0</v>
      </c>
      <c r="S143" s="171">
        <f t="shared" si="70"/>
        <v>2747538.48</v>
      </c>
      <c r="T143" s="374">
        <v>2017</v>
      </c>
      <c r="U143" s="374">
        <v>2017</v>
      </c>
      <c r="V143" s="374">
        <f t="shared" si="72"/>
        <v>4</v>
      </c>
      <c r="W143" s="148" t="s">
        <v>142</v>
      </c>
      <c r="X143" s="149">
        <v>5</v>
      </c>
      <c r="Y143" s="150" t="s">
        <v>152</v>
      </c>
    </row>
    <row r="144" spans="1:25" s="23" customFormat="1" ht="18" customHeight="1" x14ac:dyDescent="0.25">
      <c r="A144" s="374">
        <f t="shared" si="68"/>
        <v>120</v>
      </c>
      <c r="B144" s="34" t="s">
        <v>160</v>
      </c>
      <c r="C144" s="191" t="s">
        <v>428</v>
      </c>
      <c r="D144" s="191"/>
      <c r="E144" s="191"/>
      <c r="F144" s="299">
        <v>4405.8</v>
      </c>
      <c r="G144" s="202">
        <v>4345.2</v>
      </c>
      <c r="H144" s="169">
        <f t="shared" si="71"/>
        <v>6479996.7599999998</v>
      </c>
      <c r="I144" s="169">
        <f>ROUND((214.38+293.24+267.62+716.06)*G144,2)-O144</f>
        <v>6131015.2999999998</v>
      </c>
      <c r="J144" s="169">
        <v>0</v>
      </c>
      <c r="K144" s="169">
        <v>0</v>
      </c>
      <c r="L144" s="169">
        <v>0</v>
      </c>
      <c r="M144" s="169">
        <v>0</v>
      </c>
      <c r="N144" s="169">
        <v>0</v>
      </c>
      <c r="O144" s="169">
        <v>348981.46</v>
      </c>
      <c r="P144" s="169">
        <v>0</v>
      </c>
      <c r="Q144" s="169">
        <v>0</v>
      </c>
      <c r="R144" s="169">
        <v>0</v>
      </c>
      <c r="S144" s="171">
        <f t="shared" si="70"/>
        <v>6479996.7599999998</v>
      </c>
      <c r="T144" s="374">
        <v>2017</v>
      </c>
      <c r="U144" s="374">
        <v>2017</v>
      </c>
      <c r="V144" s="374">
        <f t="shared" si="72"/>
        <v>5</v>
      </c>
      <c r="W144" s="148" t="s">
        <v>141</v>
      </c>
      <c r="X144" s="149">
        <v>5</v>
      </c>
      <c r="Y144" s="151" t="s">
        <v>152</v>
      </c>
    </row>
    <row r="145" spans="1:25" s="23" customFormat="1" ht="18" customHeight="1" x14ac:dyDescent="0.25">
      <c r="A145" s="374">
        <f t="shared" si="68"/>
        <v>121</v>
      </c>
      <c r="B145" s="323" t="s">
        <v>162</v>
      </c>
      <c r="C145" s="191" t="s">
        <v>428</v>
      </c>
      <c r="D145" s="191"/>
      <c r="E145" s="191"/>
      <c r="F145" s="299">
        <v>4481.3</v>
      </c>
      <c r="G145" s="202">
        <v>4420</v>
      </c>
      <c r="H145" s="169">
        <f t="shared" si="71"/>
        <v>6591546</v>
      </c>
      <c r="I145" s="169">
        <f>ROUND((214.38+293.24+267.62+716.06)*G145,2)-O145</f>
        <v>6240433.4400000004</v>
      </c>
      <c r="J145" s="169">
        <v>0</v>
      </c>
      <c r="K145" s="169">
        <v>0</v>
      </c>
      <c r="L145" s="169">
        <v>0</v>
      </c>
      <c r="M145" s="169">
        <v>0</v>
      </c>
      <c r="N145" s="169">
        <v>0</v>
      </c>
      <c r="O145" s="169">
        <v>351112.56</v>
      </c>
      <c r="P145" s="169">
        <v>0</v>
      </c>
      <c r="Q145" s="169">
        <v>0</v>
      </c>
      <c r="R145" s="169">
        <v>0</v>
      </c>
      <c r="S145" s="171">
        <f t="shared" si="70"/>
        <v>6591546</v>
      </c>
      <c r="T145" s="374">
        <v>2017</v>
      </c>
      <c r="U145" s="374">
        <v>2017</v>
      </c>
      <c r="V145" s="374">
        <f t="shared" si="72"/>
        <v>6</v>
      </c>
      <c r="W145" s="148" t="s">
        <v>141</v>
      </c>
      <c r="X145" s="149">
        <v>5</v>
      </c>
      <c r="Y145" s="150" t="s">
        <v>152</v>
      </c>
    </row>
    <row r="146" spans="1:25" s="23" customFormat="1" ht="18" customHeight="1" x14ac:dyDescent="0.25">
      <c r="A146" s="374">
        <f t="shared" si="68"/>
        <v>122</v>
      </c>
      <c r="B146" s="34" t="s">
        <v>159</v>
      </c>
      <c r="C146" s="191" t="s">
        <v>67</v>
      </c>
      <c r="D146" s="191"/>
      <c r="E146" s="191"/>
      <c r="F146" s="299">
        <v>3876.2</v>
      </c>
      <c r="G146" s="202">
        <v>3876.2</v>
      </c>
      <c r="H146" s="169">
        <f t="shared" si="71"/>
        <v>6269327.120000001</v>
      </c>
      <c r="I146" s="169">
        <f>ROUND((229.94+400.71+270.85+715.89)*G146,2)-O146</f>
        <v>5916671.1400000006</v>
      </c>
      <c r="J146" s="169">
        <v>0</v>
      </c>
      <c r="K146" s="169">
        <v>0</v>
      </c>
      <c r="L146" s="169">
        <v>0</v>
      </c>
      <c r="M146" s="169">
        <v>0</v>
      </c>
      <c r="N146" s="169">
        <v>0</v>
      </c>
      <c r="O146" s="169">
        <v>352655.98</v>
      </c>
      <c r="P146" s="169">
        <v>0</v>
      </c>
      <c r="Q146" s="169">
        <v>0</v>
      </c>
      <c r="R146" s="169">
        <v>0</v>
      </c>
      <c r="S146" s="171">
        <f t="shared" si="70"/>
        <v>6269327.120000001</v>
      </c>
      <c r="T146" s="374">
        <v>2017</v>
      </c>
      <c r="U146" s="374">
        <v>2017</v>
      </c>
      <c r="V146" s="374">
        <f t="shared" si="72"/>
        <v>7</v>
      </c>
      <c r="W146" s="148" t="s">
        <v>141</v>
      </c>
      <c r="X146" s="149">
        <v>9</v>
      </c>
      <c r="Y146" s="150" t="s">
        <v>152</v>
      </c>
    </row>
    <row r="147" spans="1:25" s="23" customFormat="1" ht="18" customHeight="1" x14ac:dyDescent="0.25">
      <c r="A147" s="374">
        <f t="shared" si="68"/>
        <v>123</v>
      </c>
      <c r="B147" s="34" t="s">
        <v>247</v>
      </c>
      <c r="C147" s="176" t="s">
        <v>54</v>
      </c>
      <c r="D147" s="176"/>
      <c r="E147" s="176"/>
      <c r="F147" s="299">
        <v>3903.4</v>
      </c>
      <c r="G147" s="202">
        <v>3864</v>
      </c>
      <c r="H147" s="169">
        <f t="shared" si="71"/>
        <v>6075603.3200000003</v>
      </c>
      <c r="I147" s="169">
        <v>0</v>
      </c>
      <c r="J147" s="324">
        <f>3037801.66*2-O147</f>
        <v>5923713.2400000002</v>
      </c>
      <c r="K147" s="169">
        <v>0</v>
      </c>
      <c r="L147" s="170">
        <v>0</v>
      </c>
      <c r="M147" s="169">
        <v>0</v>
      </c>
      <c r="N147" s="169">
        <v>0</v>
      </c>
      <c r="O147" s="169">
        <v>151890.07999999999</v>
      </c>
      <c r="P147" s="169">
        <v>0</v>
      </c>
      <c r="Q147" s="169">
        <v>0</v>
      </c>
      <c r="R147" s="169">
        <v>0</v>
      </c>
      <c r="S147" s="171">
        <f t="shared" si="70"/>
        <v>6075603.3200000003</v>
      </c>
      <c r="T147" s="374">
        <v>2017</v>
      </c>
      <c r="U147" s="374">
        <v>2017</v>
      </c>
      <c r="V147" s="374">
        <f t="shared" si="72"/>
        <v>8</v>
      </c>
      <c r="W147" s="148" t="s">
        <v>141</v>
      </c>
      <c r="X147" s="149">
        <v>9</v>
      </c>
      <c r="Y147" s="150" t="s">
        <v>152</v>
      </c>
    </row>
    <row r="148" spans="1:25" s="23" customFormat="1" ht="18" customHeight="1" x14ac:dyDescent="0.25">
      <c r="A148" s="374">
        <f t="shared" si="68"/>
        <v>124</v>
      </c>
      <c r="B148" s="65" t="s">
        <v>417</v>
      </c>
      <c r="C148" s="176" t="s">
        <v>427</v>
      </c>
      <c r="D148" s="176"/>
      <c r="E148" s="176"/>
      <c r="F148" s="299">
        <v>3915.3</v>
      </c>
      <c r="G148" s="202">
        <v>3897.8</v>
      </c>
      <c r="H148" s="169">
        <f t="shared" si="71"/>
        <v>6075603.3200000003</v>
      </c>
      <c r="I148" s="169">
        <v>0</v>
      </c>
      <c r="J148" s="324">
        <f>3037801.66*2-O148</f>
        <v>5923713.2400000002</v>
      </c>
      <c r="K148" s="169">
        <v>0</v>
      </c>
      <c r="L148" s="170">
        <v>0</v>
      </c>
      <c r="M148" s="169">
        <v>0</v>
      </c>
      <c r="N148" s="169">
        <v>0</v>
      </c>
      <c r="O148" s="169">
        <v>151890.07999999999</v>
      </c>
      <c r="P148" s="169">
        <v>0</v>
      </c>
      <c r="Q148" s="169">
        <v>0</v>
      </c>
      <c r="R148" s="169">
        <v>0</v>
      </c>
      <c r="S148" s="171">
        <f t="shared" si="70"/>
        <v>6075603.3200000003</v>
      </c>
      <c r="T148" s="374">
        <v>2017</v>
      </c>
      <c r="U148" s="374">
        <v>2017</v>
      </c>
      <c r="V148" s="374">
        <f t="shared" si="72"/>
        <v>9</v>
      </c>
      <c r="W148" s="148" t="s">
        <v>141</v>
      </c>
      <c r="X148" s="149">
        <v>9</v>
      </c>
      <c r="Y148" s="150" t="s">
        <v>152</v>
      </c>
    </row>
    <row r="149" spans="1:25" s="23" customFormat="1" ht="18" customHeight="1" x14ac:dyDescent="0.25">
      <c r="A149" s="374">
        <f t="shared" si="68"/>
        <v>125</v>
      </c>
      <c r="B149" s="34" t="s">
        <v>401</v>
      </c>
      <c r="C149" s="176" t="s">
        <v>22</v>
      </c>
      <c r="D149" s="176"/>
      <c r="E149" s="176"/>
      <c r="F149" s="299">
        <v>3913.9</v>
      </c>
      <c r="G149" s="202">
        <v>3867.3</v>
      </c>
      <c r="H149" s="169">
        <f t="shared" si="71"/>
        <v>8797177.0200000014</v>
      </c>
      <c r="I149" s="169">
        <v>0</v>
      </c>
      <c r="J149" s="324">
        <f>3037801.66*2-151890.08</f>
        <v>5923713.2400000002</v>
      </c>
      <c r="K149" s="170">
        <f>ROUND(703.74*G149,2)-71419.5</f>
        <v>2650154.2000000002</v>
      </c>
      <c r="L149" s="170">
        <v>0</v>
      </c>
      <c r="M149" s="169">
        <v>0</v>
      </c>
      <c r="N149" s="169">
        <v>0</v>
      </c>
      <c r="O149" s="169">
        <f>71419.5+151890.08</f>
        <v>223309.58</v>
      </c>
      <c r="P149" s="169">
        <v>0</v>
      </c>
      <c r="Q149" s="169">
        <v>0</v>
      </c>
      <c r="R149" s="169">
        <v>0</v>
      </c>
      <c r="S149" s="171">
        <f t="shared" si="70"/>
        <v>8797177.0200000014</v>
      </c>
      <c r="T149" s="374">
        <v>2017</v>
      </c>
      <c r="U149" s="374">
        <v>2017</v>
      </c>
      <c r="V149" s="374">
        <f t="shared" si="72"/>
        <v>10</v>
      </c>
      <c r="W149" s="148" t="s">
        <v>141</v>
      </c>
      <c r="X149" s="149">
        <v>9</v>
      </c>
      <c r="Y149" s="150" t="s">
        <v>152</v>
      </c>
    </row>
    <row r="150" spans="1:25" s="23" customFormat="1" ht="18" customHeight="1" x14ac:dyDescent="0.25">
      <c r="A150" s="374">
        <f t="shared" si="68"/>
        <v>126</v>
      </c>
      <c r="B150" s="34" t="s">
        <v>157</v>
      </c>
      <c r="C150" s="191" t="s">
        <v>80</v>
      </c>
      <c r="D150" s="191"/>
      <c r="E150" s="191"/>
      <c r="F150" s="299">
        <v>1552.9</v>
      </c>
      <c r="G150" s="202">
        <v>1396.3</v>
      </c>
      <c r="H150" s="169">
        <f t="shared" si="71"/>
        <v>533191.12</v>
      </c>
      <c r="I150" s="169">
        <f>ROUND(381.86*G150,2)-O150</f>
        <v>501199.65</v>
      </c>
      <c r="J150" s="169">
        <v>0</v>
      </c>
      <c r="K150" s="169">
        <v>0</v>
      </c>
      <c r="L150" s="169">
        <v>0</v>
      </c>
      <c r="M150" s="169">
        <v>0</v>
      </c>
      <c r="N150" s="169">
        <v>0</v>
      </c>
      <c r="O150" s="169">
        <v>31991.47</v>
      </c>
      <c r="P150" s="169">
        <v>0</v>
      </c>
      <c r="Q150" s="169">
        <v>0</v>
      </c>
      <c r="R150" s="169">
        <v>0</v>
      </c>
      <c r="S150" s="171">
        <f t="shared" si="70"/>
        <v>533191.12</v>
      </c>
      <c r="T150" s="374">
        <v>2017</v>
      </c>
      <c r="U150" s="374">
        <v>2017</v>
      </c>
      <c r="V150" s="374">
        <f t="shared" si="72"/>
        <v>11</v>
      </c>
      <c r="W150" s="148" t="s">
        <v>142</v>
      </c>
      <c r="X150" s="149">
        <v>3</v>
      </c>
      <c r="Y150" s="150" t="s">
        <v>152</v>
      </c>
    </row>
    <row r="151" spans="1:25" s="23" customFormat="1" ht="18" customHeight="1" x14ac:dyDescent="0.25">
      <c r="A151" s="374">
        <f t="shared" si="68"/>
        <v>127</v>
      </c>
      <c r="B151" s="34" t="s">
        <v>241</v>
      </c>
      <c r="C151" s="176" t="s">
        <v>54</v>
      </c>
      <c r="D151" s="176"/>
      <c r="E151" s="176"/>
      <c r="F151" s="299">
        <v>4169</v>
      </c>
      <c r="G151" s="202">
        <v>3839.3</v>
      </c>
      <c r="H151" s="169">
        <f t="shared" si="71"/>
        <v>5711080.2999999998</v>
      </c>
      <c r="I151" s="169">
        <v>0</v>
      </c>
      <c r="J151" s="324">
        <f>2855540.15*2-O151</f>
        <v>5568303.29</v>
      </c>
      <c r="K151" s="169">
        <v>0</v>
      </c>
      <c r="L151" s="170">
        <v>0</v>
      </c>
      <c r="M151" s="169">
        <v>0</v>
      </c>
      <c r="N151" s="169">
        <v>0</v>
      </c>
      <c r="O151" s="169">
        <v>142777.01</v>
      </c>
      <c r="P151" s="169">
        <v>0</v>
      </c>
      <c r="Q151" s="169">
        <v>0</v>
      </c>
      <c r="R151" s="169">
        <v>0</v>
      </c>
      <c r="S151" s="171">
        <f t="shared" si="70"/>
        <v>5711080.2999999998</v>
      </c>
      <c r="T151" s="374">
        <v>2017</v>
      </c>
      <c r="U151" s="374">
        <v>2017</v>
      </c>
      <c r="V151" s="374">
        <f t="shared" si="72"/>
        <v>12</v>
      </c>
      <c r="W151" s="148" t="s">
        <v>142</v>
      </c>
      <c r="X151" s="149">
        <v>9</v>
      </c>
      <c r="Y151" s="150" t="s">
        <v>152</v>
      </c>
    </row>
    <row r="152" spans="1:25" s="23" customFormat="1" ht="18" customHeight="1" x14ac:dyDescent="0.25">
      <c r="A152" s="374">
        <f t="shared" si="68"/>
        <v>128</v>
      </c>
      <c r="B152" s="34" t="s">
        <v>209</v>
      </c>
      <c r="C152" s="176" t="s">
        <v>429</v>
      </c>
      <c r="D152" s="176"/>
      <c r="E152" s="176"/>
      <c r="F152" s="299">
        <v>5762</v>
      </c>
      <c r="G152" s="202">
        <v>5742.7</v>
      </c>
      <c r="H152" s="169">
        <f t="shared" si="71"/>
        <v>1536861.37</v>
      </c>
      <c r="I152" s="169">
        <f>ROUND(267.62*G152,2)-O152</f>
        <v>1454211.81</v>
      </c>
      <c r="J152" s="169">
        <v>0</v>
      </c>
      <c r="K152" s="169">
        <v>0</v>
      </c>
      <c r="L152" s="170">
        <v>0</v>
      </c>
      <c r="M152" s="169">
        <v>0</v>
      </c>
      <c r="N152" s="169">
        <v>0</v>
      </c>
      <c r="O152" s="169">
        <v>82649.56</v>
      </c>
      <c r="P152" s="169">
        <v>0</v>
      </c>
      <c r="Q152" s="169">
        <v>0</v>
      </c>
      <c r="R152" s="169">
        <v>0</v>
      </c>
      <c r="S152" s="171">
        <f t="shared" si="70"/>
        <v>1536861.37</v>
      </c>
      <c r="T152" s="374">
        <v>2017</v>
      </c>
      <c r="U152" s="374">
        <v>2017</v>
      </c>
      <c r="V152" s="374">
        <f t="shared" si="72"/>
        <v>13</v>
      </c>
      <c r="W152" s="148" t="s">
        <v>141</v>
      </c>
      <c r="X152" s="149">
        <v>5</v>
      </c>
      <c r="Y152" s="150" t="s">
        <v>152</v>
      </c>
    </row>
    <row r="153" spans="1:25" s="23" customFormat="1" ht="18" customHeight="1" x14ac:dyDescent="0.3">
      <c r="A153" s="374">
        <f t="shared" ref="A153:A216" si="73">A152+1</f>
        <v>129</v>
      </c>
      <c r="B153" s="34" t="s">
        <v>455</v>
      </c>
      <c r="C153" s="215">
        <v>1974</v>
      </c>
      <c r="D153" s="176"/>
      <c r="E153" s="189"/>
      <c r="F153" s="359">
        <v>6692.1</v>
      </c>
      <c r="G153" s="216">
        <v>5663.6</v>
      </c>
      <c r="H153" s="169">
        <f t="shared" si="71"/>
        <v>5135639.2</v>
      </c>
      <c r="I153" s="169">
        <f>ROUND((214.38+385.66)*G153,2)-203903.19</f>
        <v>3194483.35</v>
      </c>
      <c r="J153" s="169">
        <v>0</v>
      </c>
      <c r="K153" s="169">
        <v>0</v>
      </c>
      <c r="L153" s="169">
        <v>0</v>
      </c>
      <c r="M153" s="305">
        <f>ROUND(G153*306.74,2)-89033.85</f>
        <v>1648218.8099999998</v>
      </c>
      <c r="N153" s="169">
        <v>0</v>
      </c>
      <c r="O153" s="169">
        <f>203903.19+89033.85</f>
        <v>292937.04000000004</v>
      </c>
      <c r="P153" s="169">
        <v>0</v>
      </c>
      <c r="Q153" s="169">
        <v>0</v>
      </c>
      <c r="R153" s="169">
        <v>0</v>
      </c>
      <c r="S153" s="171">
        <f t="shared" si="70"/>
        <v>5135639.2</v>
      </c>
      <c r="T153" s="374">
        <v>2016</v>
      </c>
      <c r="U153" s="374">
        <v>2017</v>
      </c>
      <c r="V153" s="374">
        <f t="shared" si="72"/>
        <v>14</v>
      </c>
      <c r="W153" s="148" t="s">
        <v>141</v>
      </c>
      <c r="X153" s="149">
        <v>5</v>
      </c>
      <c r="Y153" s="150" t="s">
        <v>152</v>
      </c>
    </row>
    <row r="154" spans="1:25" s="23" customFormat="1" ht="18" customHeight="1" x14ac:dyDescent="0.3">
      <c r="A154" s="374">
        <f t="shared" si="73"/>
        <v>130</v>
      </c>
      <c r="B154" s="34" t="s">
        <v>456</v>
      </c>
      <c r="C154" s="215">
        <v>1965</v>
      </c>
      <c r="D154" s="176"/>
      <c r="E154" s="189"/>
      <c r="F154" s="359">
        <v>3254.4</v>
      </c>
      <c r="G154" s="216">
        <v>2056.6</v>
      </c>
      <c r="H154" s="169">
        <f t="shared" si="71"/>
        <v>4526391.5059999991</v>
      </c>
      <c r="I154" s="169">
        <v>0</v>
      </c>
      <c r="J154" s="169">
        <v>0</v>
      </c>
      <c r="K154" s="170">
        <f>ROUND(1056.15*G154,2)-92274.82</f>
        <v>2079803.2699999998</v>
      </c>
      <c r="L154" s="169">
        <v>0</v>
      </c>
      <c r="M154" s="305">
        <f>G154*1144.76-132463.26</f>
        <v>2221850.1559999995</v>
      </c>
      <c r="N154" s="169">
        <v>0</v>
      </c>
      <c r="O154" s="169">
        <f>92274.82+132463.26</f>
        <v>224738.08000000002</v>
      </c>
      <c r="P154" s="169">
        <v>0</v>
      </c>
      <c r="Q154" s="169">
        <v>0</v>
      </c>
      <c r="R154" s="169">
        <v>0</v>
      </c>
      <c r="S154" s="171">
        <f t="shared" si="70"/>
        <v>4526391.5059999991</v>
      </c>
      <c r="T154" s="374">
        <v>2016</v>
      </c>
      <c r="U154" s="374">
        <v>2017</v>
      </c>
      <c r="V154" s="374">
        <f t="shared" si="72"/>
        <v>15</v>
      </c>
      <c r="W154" s="148" t="s">
        <v>142</v>
      </c>
      <c r="X154" s="149">
        <v>5</v>
      </c>
      <c r="Y154" s="150" t="s">
        <v>152</v>
      </c>
    </row>
    <row r="155" spans="1:25" s="23" customFormat="1" ht="18" customHeight="1" x14ac:dyDescent="0.25">
      <c r="A155" s="374">
        <f t="shared" si="73"/>
        <v>131</v>
      </c>
      <c r="B155" s="34" t="s">
        <v>163</v>
      </c>
      <c r="C155" s="191" t="s">
        <v>93</v>
      </c>
      <c r="D155" s="191"/>
      <c r="E155" s="191" t="s">
        <v>464</v>
      </c>
      <c r="F155" s="299">
        <v>3184</v>
      </c>
      <c r="G155" s="202">
        <v>2389</v>
      </c>
      <c r="H155" s="169">
        <f t="shared" si="71"/>
        <v>912263.54</v>
      </c>
      <c r="I155" s="169">
        <f>ROUND(381.86*G155,2)-O155</f>
        <v>857527.73</v>
      </c>
      <c r="J155" s="169">
        <v>0</v>
      </c>
      <c r="K155" s="169">
        <v>0</v>
      </c>
      <c r="L155" s="169">
        <v>0</v>
      </c>
      <c r="M155" s="169">
        <v>0</v>
      </c>
      <c r="N155" s="169">
        <v>0</v>
      </c>
      <c r="O155" s="169">
        <v>54735.81</v>
      </c>
      <c r="P155" s="169">
        <v>0</v>
      </c>
      <c r="Q155" s="169">
        <v>0</v>
      </c>
      <c r="R155" s="169">
        <v>0</v>
      </c>
      <c r="S155" s="171">
        <f t="shared" si="70"/>
        <v>912263.54</v>
      </c>
      <c r="T155" s="374">
        <v>2017</v>
      </c>
      <c r="U155" s="374">
        <v>2017</v>
      </c>
      <c r="V155" s="374">
        <f t="shared" si="72"/>
        <v>16</v>
      </c>
      <c r="W155" s="148" t="s">
        <v>142</v>
      </c>
      <c r="X155" s="149">
        <v>5</v>
      </c>
      <c r="Y155" s="150" t="s">
        <v>152</v>
      </c>
    </row>
    <row r="156" spans="1:25" s="23" customFormat="1" ht="18" customHeight="1" x14ac:dyDescent="0.25">
      <c r="A156" s="374">
        <f t="shared" si="73"/>
        <v>132</v>
      </c>
      <c r="B156" s="34" t="s">
        <v>118</v>
      </c>
      <c r="C156" s="176" t="s">
        <v>56</v>
      </c>
      <c r="D156" s="176" t="s">
        <v>444</v>
      </c>
      <c r="E156" s="176"/>
      <c r="F156" s="299">
        <v>9040.7999999999993</v>
      </c>
      <c r="G156" s="202">
        <v>6313.3</v>
      </c>
      <c r="H156" s="169">
        <f t="shared" si="71"/>
        <v>20417786.380000003</v>
      </c>
      <c r="I156" s="169">
        <v>0</v>
      </c>
      <c r="J156" s="324">
        <f>2855540.15*2-142777.01</f>
        <v>5568303.29</v>
      </c>
      <c r="K156" s="169">
        <v>0</v>
      </c>
      <c r="L156" s="170">
        <v>0</v>
      </c>
      <c r="M156" s="305">
        <f>ROUND(6313.3*2329.48,2)</f>
        <v>14706706.08</v>
      </c>
      <c r="N156" s="169">
        <v>0</v>
      </c>
      <c r="O156" s="169">
        <v>142777.01</v>
      </c>
      <c r="P156" s="169">
        <v>0</v>
      </c>
      <c r="Q156" s="169">
        <v>0</v>
      </c>
      <c r="R156" s="169">
        <v>0</v>
      </c>
      <c r="S156" s="171">
        <f t="shared" si="70"/>
        <v>20417786.380000003</v>
      </c>
      <c r="T156" s="374">
        <v>2016</v>
      </c>
      <c r="U156" s="374">
        <v>2017</v>
      </c>
      <c r="V156" s="374">
        <f t="shared" si="72"/>
        <v>17</v>
      </c>
      <c r="W156" s="148" t="s">
        <v>142</v>
      </c>
      <c r="X156" s="149">
        <v>7</v>
      </c>
      <c r="Y156" s="150" t="s">
        <v>153</v>
      </c>
    </row>
    <row r="157" spans="1:25" s="23" customFormat="1" ht="18" customHeight="1" x14ac:dyDescent="0.25">
      <c r="A157" s="374">
        <f t="shared" si="73"/>
        <v>133</v>
      </c>
      <c r="B157" s="34" t="s">
        <v>470</v>
      </c>
      <c r="C157" s="191" t="s">
        <v>70</v>
      </c>
      <c r="D157" s="176" t="s">
        <v>444</v>
      </c>
      <c r="E157" s="176"/>
      <c r="F157" s="299">
        <v>9119.2000000000007</v>
      </c>
      <c r="G157" s="202">
        <v>6550</v>
      </c>
      <c r="H157" s="169">
        <f t="shared" si="71"/>
        <v>5675575</v>
      </c>
      <c r="I157" s="169">
        <f>ROUND((191.67+381.86+292.97)*G157,2)-O157</f>
        <v>5424895.1600000001</v>
      </c>
      <c r="J157" s="169">
        <v>0</v>
      </c>
      <c r="K157" s="169">
        <v>0</v>
      </c>
      <c r="L157" s="169">
        <v>0</v>
      </c>
      <c r="M157" s="169">
        <v>0</v>
      </c>
      <c r="N157" s="169">
        <v>0</v>
      </c>
      <c r="O157" s="169">
        <v>250679.84</v>
      </c>
      <c r="P157" s="169">
        <v>0</v>
      </c>
      <c r="Q157" s="169">
        <v>0</v>
      </c>
      <c r="R157" s="169">
        <v>0</v>
      </c>
      <c r="S157" s="171">
        <f t="shared" si="70"/>
        <v>5675575</v>
      </c>
      <c r="T157" s="374">
        <v>2017</v>
      </c>
      <c r="U157" s="374">
        <v>2017</v>
      </c>
      <c r="V157" s="374">
        <f t="shared" si="72"/>
        <v>18</v>
      </c>
      <c r="W157" s="148" t="s">
        <v>142</v>
      </c>
      <c r="X157" s="149">
        <v>6</v>
      </c>
      <c r="Y157" s="150" t="s">
        <v>153</v>
      </c>
    </row>
    <row r="158" spans="1:25" s="23" customFormat="1" ht="18" customHeight="1" x14ac:dyDescent="0.25">
      <c r="A158" s="374">
        <f t="shared" si="73"/>
        <v>134</v>
      </c>
      <c r="B158" s="34" t="s">
        <v>105</v>
      </c>
      <c r="C158" s="176">
        <v>1938</v>
      </c>
      <c r="D158" s="176" t="s">
        <v>444</v>
      </c>
      <c r="E158" s="176"/>
      <c r="F158" s="299">
        <v>9703.7000000000007</v>
      </c>
      <c r="G158" s="325">
        <v>7774.5</v>
      </c>
      <c r="H158" s="169">
        <f t="shared" si="71"/>
        <v>20698129.100000001</v>
      </c>
      <c r="I158" s="169">
        <f>ROUND(332.83*G158,2)-O158</f>
        <v>2519190.5</v>
      </c>
      <c r="J158" s="169">
        <v>0</v>
      </c>
      <c r="K158" s="169">
        <v>0</v>
      </c>
      <c r="L158" s="170">
        <v>0</v>
      </c>
      <c r="M158" s="305">
        <f>ROUND(7774.5*2329.48,2)</f>
        <v>18110542.260000002</v>
      </c>
      <c r="N158" s="169">
        <v>0</v>
      </c>
      <c r="O158" s="169">
        <v>68396.34</v>
      </c>
      <c r="P158" s="169">
        <v>0</v>
      </c>
      <c r="Q158" s="169">
        <v>0</v>
      </c>
      <c r="R158" s="169">
        <v>0</v>
      </c>
      <c r="S158" s="171">
        <f t="shared" si="70"/>
        <v>20698129.100000001</v>
      </c>
      <c r="T158" s="374">
        <v>2016</v>
      </c>
      <c r="U158" s="374">
        <v>2017</v>
      </c>
      <c r="V158" s="374">
        <f t="shared" si="72"/>
        <v>19</v>
      </c>
      <c r="W158" s="182" t="s">
        <v>142</v>
      </c>
      <c r="X158" s="183">
        <v>7</v>
      </c>
      <c r="Y158" s="184" t="s">
        <v>153</v>
      </c>
    </row>
    <row r="159" spans="1:25" s="23" customFormat="1" ht="18" customHeight="1" x14ac:dyDescent="0.3">
      <c r="A159" s="374">
        <f t="shared" si="73"/>
        <v>135</v>
      </c>
      <c r="B159" s="34" t="s">
        <v>448</v>
      </c>
      <c r="C159" s="215">
        <v>1938</v>
      </c>
      <c r="D159" s="176"/>
      <c r="E159" s="11"/>
      <c r="F159" s="359">
        <v>11111.8</v>
      </c>
      <c r="G159" s="216">
        <v>7384.7</v>
      </c>
      <c r="H159" s="169">
        <f t="shared" si="71"/>
        <v>12981169.76</v>
      </c>
      <c r="I159" s="169">
        <v>0</v>
      </c>
      <c r="J159" s="324">
        <f>2855540.15*2-O159</f>
        <v>5568303.29</v>
      </c>
      <c r="K159" s="386">
        <f>ROUND(7384.7*984.48,2)</f>
        <v>7270089.46</v>
      </c>
      <c r="L159" s="170">
        <v>0</v>
      </c>
      <c r="M159" s="169">
        <v>0</v>
      </c>
      <c r="N159" s="169">
        <v>0</v>
      </c>
      <c r="O159" s="169">
        <v>142777.01</v>
      </c>
      <c r="P159" s="169">
        <v>0</v>
      </c>
      <c r="Q159" s="169">
        <v>0</v>
      </c>
      <c r="R159" s="169">
        <v>0</v>
      </c>
      <c r="S159" s="171">
        <f t="shared" si="70"/>
        <v>12981169.76</v>
      </c>
      <c r="T159" s="374">
        <v>2016</v>
      </c>
      <c r="U159" s="374">
        <v>2017</v>
      </c>
      <c r="V159" s="374">
        <f t="shared" si="72"/>
        <v>20</v>
      </c>
      <c r="W159" s="148" t="s">
        <v>142</v>
      </c>
      <c r="X159" s="149">
        <v>8</v>
      </c>
      <c r="Y159" s="150" t="s">
        <v>153</v>
      </c>
    </row>
    <row r="160" spans="1:25" s="23" customFormat="1" ht="18" customHeight="1" x14ac:dyDescent="0.25">
      <c r="A160" s="374">
        <f t="shared" si="73"/>
        <v>136</v>
      </c>
      <c r="B160" s="34" t="s">
        <v>117</v>
      </c>
      <c r="C160" s="191" t="s">
        <v>57</v>
      </c>
      <c r="D160" s="176" t="s">
        <v>444</v>
      </c>
      <c r="E160" s="176"/>
      <c r="F160" s="299">
        <v>2419.1</v>
      </c>
      <c r="G160" s="202">
        <v>1553.4</v>
      </c>
      <c r="H160" s="169">
        <f t="shared" si="71"/>
        <v>6807169.6699999999</v>
      </c>
      <c r="I160" s="169">
        <v>0</v>
      </c>
      <c r="J160" s="169">
        <v>0</v>
      </c>
      <c r="K160" s="305">
        <v>2477999.21</v>
      </c>
      <c r="L160" s="169">
        <v>0</v>
      </c>
      <c r="M160" s="169">
        <f>ROUND(2786.9*G160,2)-O160</f>
        <v>3588453.78</v>
      </c>
      <c r="N160" s="169">
        <v>0</v>
      </c>
      <c r="O160" s="169">
        <v>740716.68</v>
      </c>
      <c r="P160" s="169">
        <v>0</v>
      </c>
      <c r="Q160" s="169">
        <v>0</v>
      </c>
      <c r="R160" s="169">
        <v>0</v>
      </c>
      <c r="S160" s="171">
        <f t="shared" si="70"/>
        <v>6807169.6699999999</v>
      </c>
      <c r="T160" s="374">
        <v>2016</v>
      </c>
      <c r="U160" s="374">
        <v>2017</v>
      </c>
      <c r="V160" s="374">
        <f t="shared" si="72"/>
        <v>21</v>
      </c>
      <c r="W160" s="148" t="s">
        <v>142</v>
      </c>
      <c r="X160" s="149">
        <v>4</v>
      </c>
      <c r="Y160" s="150" t="s">
        <v>153</v>
      </c>
    </row>
    <row r="161" spans="1:25" s="23" customFormat="1" ht="18" customHeight="1" x14ac:dyDescent="0.25">
      <c r="A161" s="374">
        <f t="shared" si="73"/>
        <v>137</v>
      </c>
      <c r="B161" s="34" t="s">
        <v>222</v>
      </c>
      <c r="C161" s="176" t="s">
        <v>94</v>
      </c>
      <c r="D161" s="176"/>
      <c r="E161" s="176"/>
      <c r="F161" s="299">
        <v>3952.3</v>
      </c>
      <c r="G161" s="326">
        <v>3917.41</v>
      </c>
      <c r="H161" s="169">
        <f t="shared" si="71"/>
        <v>2756838.11</v>
      </c>
      <c r="I161" s="169">
        <v>0</v>
      </c>
      <c r="J161" s="169">
        <v>0</v>
      </c>
      <c r="K161" s="170">
        <f>ROUND(703.74*G161,2)-O161</f>
        <v>2685497.67</v>
      </c>
      <c r="L161" s="170">
        <v>0</v>
      </c>
      <c r="M161" s="169">
        <v>0</v>
      </c>
      <c r="N161" s="169">
        <v>0</v>
      </c>
      <c r="O161" s="169">
        <v>71340.44</v>
      </c>
      <c r="P161" s="169">
        <v>0</v>
      </c>
      <c r="Q161" s="169">
        <v>0</v>
      </c>
      <c r="R161" s="169">
        <v>0</v>
      </c>
      <c r="S161" s="171">
        <f t="shared" si="70"/>
        <v>2756838.11</v>
      </c>
      <c r="T161" s="374">
        <v>2017</v>
      </c>
      <c r="U161" s="374">
        <v>2017</v>
      </c>
      <c r="V161" s="374">
        <f t="shared" si="72"/>
        <v>22</v>
      </c>
      <c r="W161" s="148" t="s">
        <v>141</v>
      </c>
      <c r="X161" s="149">
        <v>9</v>
      </c>
      <c r="Y161" s="150" t="s">
        <v>152</v>
      </c>
    </row>
    <row r="162" spans="1:25" s="23" customFormat="1" ht="18" customHeight="1" x14ac:dyDescent="0.25">
      <c r="A162" s="374">
        <f t="shared" si="73"/>
        <v>138</v>
      </c>
      <c r="B162" s="34" t="s">
        <v>218</v>
      </c>
      <c r="C162" s="176" t="s">
        <v>98</v>
      </c>
      <c r="D162" s="176"/>
      <c r="E162" s="176"/>
      <c r="F162" s="299">
        <v>19088.400000000001</v>
      </c>
      <c r="G162" s="202">
        <v>16427.7</v>
      </c>
      <c r="H162" s="169">
        <f t="shared" si="71"/>
        <v>6582743.6699999999</v>
      </c>
      <c r="I162" s="169">
        <f>ROUND(400.71*G162,2)-O162</f>
        <v>6187779.0499999998</v>
      </c>
      <c r="J162" s="169">
        <v>0</v>
      </c>
      <c r="K162" s="169">
        <v>0</v>
      </c>
      <c r="L162" s="170">
        <v>0</v>
      </c>
      <c r="M162" s="169">
        <v>0</v>
      </c>
      <c r="N162" s="169">
        <v>0</v>
      </c>
      <c r="O162" s="169">
        <v>394964.62</v>
      </c>
      <c r="P162" s="169">
        <v>0</v>
      </c>
      <c r="Q162" s="169">
        <v>0</v>
      </c>
      <c r="R162" s="169">
        <v>0</v>
      </c>
      <c r="S162" s="171">
        <f t="shared" si="70"/>
        <v>6582743.6699999999</v>
      </c>
      <c r="T162" s="374">
        <v>2017</v>
      </c>
      <c r="U162" s="374">
        <v>2017</v>
      </c>
      <c r="V162" s="374">
        <f t="shared" si="72"/>
        <v>23</v>
      </c>
      <c r="W162" s="148" t="s">
        <v>141</v>
      </c>
      <c r="X162" s="149">
        <v>9</v>
      </c>
      <c r="Y162" s="150" t="s">
        <v>152</v>
      </c>
    </row>
    <row r="163" spans="1:25" s="23" customFormat="1" ht="18" customHeight="1" x14ac:dyDescent="0.25">
      <c r="A163" s="374">
        <f t="shared" si="73"/>
        <v>139</v>
      </c>
      <c r="B163" s="34" t="s">
        <v>168</v>
      </c>
      <c r="C163" s="191" t="s">
        <v>113</v>
      </c>
      <c r="D163" s="191"/>
      <c r="E163" s="191"/>
      <c r="F163" s="299">
        <v>5721.3</v>
      </c>
      <c r="G163" s="202">
        <v>5657.7</v>
      </c>
      <c r="H163" s="169">
        <f t="shared" si="71"/>
        <v>2663305.7000000002</v>
      </c>
      <c r="I163" s="169">
        <f>ROUND(470.74*G163,2)-O163</f>
        <v>2503507.3600000003</v>
      </c>
      <c r="J163" s="169">
        <v>0</v>
      </c>
      <c r="K163" s="169">
        <v>0</v>
      </c>
      <c r="L163" s="169">
        <v>0</v>
      </c>
      <c r="M163" s="169">
        <v>0</v>
      </c>
      <c r="N163" s="169">
        <v>0</v>
      </c>
      <c r="O163" s="169">
        <v>159798.34</v>
      </c>
      <c r="P163" s="169">
        <v>0</v>
      </c>
      <c r="Q163" s="169">
        <v>0</v>
      </c>
      <c r="R163" s="169">
        <v>0</v>
      </c>
      <c r="S163" s="171">
        <f t="shared" ref="S163:S226" si="74">H163</f>
        <v>2663305.7000000002</v>
      </c>
      <c r="T163" s="374">
        <v>2017</v>
      </c>
      <c r="U163" s="374">
        <v>2017</v>
      </c>
      <c r="V163" s="374">
        <f t="shared" si="72"/>
        <v>24</v>
      </c>
      <c r="W163" s="148" t="s">
        <v>142</v>
      </c>
      <c r="X163" s="149">
        <v>9</v>
      </c>
      <c r="Y163" s="150" t="s">
        <v>152</v>
      </c>
    </row>
    <row r="164" spans="1:25" s="23" customFormat="1" ht="18" customHeight="1" x14ac:dyDescent="0.25">
      <c r="A164" s="374">
        <f t="shared" si="73"/>
        <v>140</v>
      </c>
      <c r="B164" s="34" t="s">
        <v>242</v>
      </c>
      <c r="C164" s="176" t="s">
        <v>21</v>
      </c>
      <c r="D164" s="176"/>
      <c r="E164" s="176" t="s">
        <v>464</v>
      </c>
      <c r="F164" s="299">
        <v>4095.6</v>
      </c>
      <c r="G164" s="202">
        <v>3815.7</v>
      </c>
      <c r="H164" s="169">
        <f t="shared" si="71"/>
        <v>1528989.15</v>
      </c>
      <c r="I164" s="169">
        <f>ROUND(400.71*G164,2)-O164</f>
        <v>1437249.7999999998</v>
      </c>
      <c r="J164" s="169">
        <v>0</v>
      </c>
      <c r="K164" s="169">
        <v>0</v>
      </c>
      <c r="L164" s="170">
        <v>0</v>
      </c>
      <c r="M164" s="169">
        <v>0</v>
      </c>
      <c r="N164" s="169">
        <v>0</v>
      </c>
      <c r="O164" s="169">
        <v>91739.35</v>
      </c>
      <c r="P164" s="169">
        <v>0</v>
      </c>
      <c r="Q164" s="169">
        <v>0</v>
      </c>
      <c r="R164" s="169">
        <v>0</v>
      </c>
      <c r="S164" s="171">
        <f t="shared" si="74"/>
        <v>1528989.15</v>
      </c>
      <c r="T164" s="374">
        <v>2017</v>
      </c>
      <c r="U164" s="374">
        <v>2017</v>
      </c>
      <c r="V164" s="374">
        <f t="shared" si="72"/>
        <v>25</v>
      </c>
      <c r="W164" s="148" t="s">
        <v>141</v>
      </c>
      <c r="X164" s="149">
        <v>9</v>
      </c>
      <c r="Y164" s="150" t="s">
        <v>152</v>
      </c>
    </row>
    <row r="165" spans="1:25" s="23" customFormat="1" ht="18" customHeight="1" x14ac:dyDescent="0.25">
      <c r="A165" s="374">
        <f t="shared" si="73"/>
        <v>141</v>
      </c>
      <c r="B165" s="34" t="s">
        <v>216</v>
      </c>
      <c r="C165" s="176" t="s">
        <v>55</v>
      </c>
      <c r="D165" s="176"/>
      <c r="E165" s="176"/>
      <c r="F165" s="299">
        <v>3584.3</v>
      </c>
      <c r="G165" s="202">
        <v>3514</v>
      </c>
      <c r="H165" s="169">
        <f t="shared" si="71"/>
        <v>940416.68</v>
      </c>
      <c r="I165" s="169">
        <f>ROUND(267.62*G165,2)-O165</f>
        <v>889312.06</v>
      </c>
      <c r="J165" s="169">
        <v>0</v>
      </c>
      <c r="K165" s="169">
        <v>0</v>
      </c>
      <c r="L165" s="170">
        <v>0</v>
      </c>
      <c r="M165" s="169">
        <v>0</v>
      </c>
      <c r="N165" s="169">
        <v>0</v>
      </c>
      <c r="O165" s="169">
        <v>51104.62</v>
      </c>
      <c r="P165" s="169">
        <v>0</v>
      </c>
      <c r="Q165" s="169">
        <v>0</v>
      </c>
      <c r="R165" s="169">
        <v>0</v>
      </c>
      <c r="S165" s="171">
        <f t="shared" si="74"/>
        <v>940416.68</v>
      </c>
      <c r="T165" s="374">
        <v>2017</v>
      </c>
      <c r="U165" s="374">
        <v>2017</v>
      </c>
      <c r="V165" s="374">
        <f t="shared" si="72"/>
        <v>26</v>
      </c>
      <c r="W165" s="148" t="s">
        <v>141</v>
      </c>
      <c r="X165" s="149">
        <v>5</v>
      </c>
      <c r="Y165" s="150" t="s">
        <v>153</v>
      </c>
    </row>
    <row r="166" spans="1:25" s="23" customFormat="1" ht="18" customHeight="1" x14ac:dyDescent="0.25">
      <c r="A166" s="374">
        <f t="shared" si="73"/>
        <v>142</v>
      </c>
      <c r="B166" s="65" t="s">
        <v>230</v>
      </c>
      <c r="C166" s="176" t="s">
        <v>430</v>
      </c>
      <c r="D166" s="176"/>
      <c r="E166" s="176"/>
      <c r="F166" s="299">
        <v>3323.1</v>
      </c>
      <c r="G166" s="202">
        <v>3289.2</v>
      </c>
      <c r="H166" s="169">
        <f t="shared" si="71"/>
        <v>1268512.8700000001</v>
      </c>
      <c r="I166" s="169">
        <f>ROUND(385.66*G166,2)-O166</f>
        <v>1192402.1000000001</v>
      </c>
      <c r="J166" s="169">
        <v>0</v>
      </c>
      <c r="K166" s="169">
        <v>0</v>
      </c>
      <c r="L166" s="170">
        <v>0</v>
      </c>
      <c r="M166" s="169">
        <v>0</v>
      </c>
      <c r="N166" s="169">
        <v>0</v>
      </c>
      <c r="O166" s="169">
        <v>76110.77</v>
      </c>
      <c r="P166" s="169">
        <v>0</v>
      </c>
      <c r="Q166" s="169">
        <v>0</v>
      </c>
      <c r="R166" s="169">
        <v>0</v>
      </c>
      <c r="S166" s="171">
        <f t="shared" si="74"/>
        <v>1268512.8700000001</v>
      </c>
      <c r="T166" s="374">
        <v>2017</v>
      </c>
      <c r="U166" s="374">
        <v>2017</v>
      </c>
      <c r="V166" s="374">
        <f t="shared" si="72"/>
        <v>27</v>
      </c>
      <c r="W166" s="148" t="s">
        <v>141</v>
      </c>
      <c r="X166" s="149">
        <v>5</v>
      </c>
      <c r="Y166" s="150" t="s">
        <v>152</v>
      </c>
    </row>
    <row r="167" spans="1:25" s="23" customFormat="1" ht="18" customHeight="1" x14ac:dyDescent="0.25">
      <c r="A167" s="374">
        <f t="shared" si="73"/>
        <v>143</v>
      </c>
      <c r="B167" s="65" t="s">
        <v>155</v>
      </c>
      <c r="C167" s="176" t="s">
        <v>73</v>
      </c>
      <c r="D167" s="176"/>
      <c r="E167" s="176"/>
      <c r="F167" s="299">
        <v>5695.1</v>
      </c>
      <c r="G167" s="202">
        <v>3988.9</v>
      </c>
      <c r="H167" s="169">
        <f t="shared" si="71"/>
        <v>11845836.33</v>
      </c>
      <c r="I167" s="169">
        <v>0</v>
      </c>
      <c r="J167" s="169">
        <v>0</v>
      </c>
      <c r="K167" s="170">
        <f>ROUND(1824.94*G167,2)-161474.92</f>
        <v>7118028.25</v>
      </c>
      <c r="L167" s="169">
        <v>0</v>
      </c>
      <c r="M167" s="170">
        <f>ROUND(1144.76*G167,2)-101291.02</f>
        <v>4465042.1400000006</v>
      </c>
      <c r="N167" s="169">
        <v>0</v>
      </c>
      <c r="O167" s="169">
        <v>262765.94</v>
      </c>
      <c r="P167" s="169">
        <v>0</v>
      </c>
      <c r="Q167" s="169">
        <v>0</v>
      </c>
      <c r="R167" s="169">
        <v>0</v>
      </c>
      <c r="S167" s="171">
        <f t="shared" si="74"/>
        <v>11845836.33</v>
      </c>
      <c r="T167" s="374">
        <v>2017</v>
      </c>
      <c r="U167" s="374">
        <v>2017</v>
      </c>
      <c r="V167" s="374">
        <f t="shared" si="72"/>
        <v>28</v>
      </c>
      <c r="W167" s="148" t="s">
        <v>142</v>
      </c>
      <c r="X167" s="149">
        <v>5</v>
      </c>
      <c r="Y167" s="150" t="s">
        <v>153</v>
      </c>
    </row>
    <row r="168" spans="1:25" s="23" customFormat="1" ht="18" customHeight="1" x14ac:dyDescent="0.25">
      <c r="A168" s="374">
        <f t="shared" si="73"/>
        <v>144</v>
      </c>
      <c r="B168" s="34" t="s">
        <v>165</v>
      </c>
      <c r="C168" s="191" t="s">
        <v>114</v>
      </c>
      <c r="D168" s="191"/>
      <c r="E168" s="191"/>
      <c r="F168" s="299">
        <v>1361.5</v>
      </c>
      <c r="G168" s="202">
        <v>1235.5</v>
      </c>
      <c r="H168" s="169">
        <f t="shared" si="71"/>
        <v>957500.15</v>
      </c>
      <c r="I168" s="169">
        <f>ROUND((191.67+290.35+292.97)*G168,2)-O168</f>
        <v>903901.01</v>
      </c>
      <c r="J168" s="169">
        <v>0</v>
      </c>
      <c r="K168" s="169">
        <v>0</v>
      </c>
      <c r="L168" s="169">
        <v>0</v>
      </c>
      <c r="M168" s="169">
        <v>0</v>
      </c>
      <c r="N168" s="169">
        <v>0</v>
      </c>
      <c r="O168" s="169">
        <v>53599.14</v>
      </c>
      <c r="P168" s="169">
        <v>0</v>
      </c>
      <c r="Q168" s="169">
        <v>0</v>
      </c>
      <c r="R168" s="169">
        <v>0</v>
      </c>
      <c r="S168" s="171">
        <f t="shared" si="74"/>
        <v>957500.15</v>
      </c>
      <c r="T168" s="374">
        <v>2017</v>
      </c>
      <c r="U168" s="374">
        <v>2017</v>
      </c>
      <c r="V168" s="374">
        <f t="shared" si="72"/>
        <v>29</v>
      </c>
      <c r="W168" s="148" t="s">
        <v>142</v>
      </c>
      <c r="X168" s="149">
        <v>4</v>
      </c>
      <c r="Y168" s="150" t="s">
        <v>153</v>
      </c>
    </row>
    <row r="169" spans="1:25" s="23" customFormat="1" ht="18" customHeight="1" x14ac:dyDescent="0.25">
      <c r="A169" s="374">
        <f t="shared" si="73"/>
        <v>145</v>
      </c>
      <c r="B169" s="34" t="s">
        <v>122</v>
      </c>
      <c r="C169" s="176" t="s">
        <v>94</v>
      </c>
      <c r="D169" s="176"/>
      <c r="E169" s="176"/>
      <c r="F169" s="299">
        <v>5839.2</v>
      </c>
      <c r="G169" s="202">
        <v>5757.5</v>
      </c>
      <c r="H169" s="169">
        <f t="shared" si="71"/>
        <v>6174630.8799999999</v>
      </c>
      <c r="I169" s="169">
        <v>0</v>
      </c>
      <c r="J169" s="169">
        <v>0</v>
      </c>
      <c r="K169" s="327">
        <f>ROUND(1072.45*G169,2)-O169</f>
        <v>6036439.8999999994</v>
      </c>
      <c r="L169" s="170">
        <v>0</v>
      </c>
      <c r="M169" s="169">
        <v>0</v>
      </c>
      <c r="N169" s="169">
        <v>0</v>
      </c>
      <c r="O169" s="169">
        <v>138190.98000000001</v>
      </c>
      <c r="P169" s="169">
        <v>0</v>
      </c>
      <c r="Q169" s="169">
        <v>0</v>
      </c>
      <c r="R169" s="169">
        <v>0</v>
      </c>
      <c r="S169" s="171">
        <f t="shared" si="74"/>
        <v>6174630.8799999999</v>
      </c>
      <c r="T169" s="374">
        <v>2017</v>
      </c>
      <c r="U169" s="374">
        <v>2017</v>
      </c>
      <c r="V169" s="374">
        <f t="shared" si="72"/>
        <v>30</v>
      </c>
      <c r="W169" s="148" t="s">
        <v>141</v>
      </c>
      <c r="X169" s="149">
        <v>5</v>
      </c>
      <c r="Y169" s="150" t="s">
        <v>152</v>
      </c>
    </row>
    <row r="170" spans="1:25" s="23" customFormat="1" ht="18" customHeight="1" x14ac:dyDescent="0.25">
      <c r="A170" s="374">
        <f t="shared" si="73"/>
        <v>146</v>
      </c>
      <c r="B170" s="34" t="s">
        <v>164</v>
      </c>
      <c r="C170" s="191" t="s">
        <v>428</v>
      </c>
      <c r="D170" s="191"/>
      <c r="E170" s="191"/>
      <c r="F170" s="299">
        <v>5604.9</v>
      </c>
      <c r="G170" s="202">
        <v>4633</v>
      </c>
      <c r="H170" s="169">
        <f t="shared" si="71"/>
        <v>4893142.95</v>
      </c>
      <c r="I170" s="169">
        <v>0</v>
      </c>
      <c r="J170" s="169">
        <v>0</v>
      </c>
      <c r="K170" s="69">
        <f>ROUND(1056.15*G170,2)-O170</f>
        <v>4776189.6100000003</v>
      </c>
      <c r="L170" s="169">
        <v>0</v>
      </c>
      <c r="M170" s="169">
        <v>0</v>
      </c>
      <c r="N170" s="169">
        <v>0</v>
      </c>
      <c r="O170" s="169">
        <v>116953.34</v>
      </c>
      <c r="P170" s="169">
        <v>0</v>
      </c>
      <c r="Q170" s="169">
        <v>0</v>
      </c>
      <c r="R170" s="169">
        <v>0</v>
      </c>
      <c r="S170" s="171">
        <f t="shared" si="74"/>
        <v>4893142.95</v>
      </c>
      <c r="T170" s="374">
        <v>2017</v>
      </c>
      <c r="U170" s="374">
        <v>2017</v>
      </c>
      <c r="V170" s="374">
        <f t="shared" si="72"/>
        <v>31</v>
      </c>
      <c r="W170" s="148" t="s">
        <v>142</v>
      </c>
      <c r="X170" s="149">
        <v>5</v>
      </c>
      <c r="Y170" s="150" t="s">
        <v>152</v>
      </c>
    </row>
    <row r="171" spans="1:25" s="23" customFormat="1" ht="18" customHeight="1" x14ac:dyDescent="0.25">
      <c r="A171" s="374">
        <f t="shared" si="73"/>
        <v>147</v>
      </c>
      <c r="B171" s="34" t="s">
        <v>214</v>
      </c>
      <c r="C171" s="176" t="s">
        <v>431</v>
      </c>
      <c r="D171" s="176"/>
      <c r="E171" s="176"/>
      <c r="F171" s="299">
        <v>3038.3</v>
      </c>
      <c r="G171" s="202">
        <v>2582</v>
      </c>
      <c r="H171" s="169">
        <f t="shared" si="71"/>
        <v>2769065.9</v>
      </c>
      <c r="I171" s="169">
        <v>0</v>
      </c>
      <c r="J171" s="169">
        <v>0</v>
      </c>
      <c r="K171" s="37">
        <f>ROUND(1072.45*G171,2)-O171</f>
        <v>2690750.48</v>
      </c>
      <c r="L171" s="170">
        <v>0</v>
      </c>
      <c r="M171" s="169">
        <v>0</v>
      </c>
      <c r="N171" s="169">
        <v>0</v>
      </c>
      <c r="O171" s="169">
        <v>78315.42</v>
      </c>
      <c r="P171" s="169">
        <v>0</v>
      </c>
      <c r="Q171" s="169">
        <v>0</v>
      </c>
      <c r="R171" s="169">
        <v>0</v>
      </c>
      <c r="S171" s="171">
        <f t="shared" si="74"/>
        <v>2769065.9</v>
      </c>
      <c r="T171" s="374">
        <v>2017</v>
      </c>
      <c r="U171" s="374">
        <v>2017</v>
      </c>
      <c r="V171" s="374">
        <f t="shared" si="72"/>
        <v>32</v>
      </c>
      <c r="W171" s="148" t="s">
        <v>141</v>
      </c>
      <c r="X171" s="149">
        <v>5</v>
      </c>
      <c r="Y171" s="150" t="s">
        <v>152</v>
      </c>
    </row>
    <row r="172" spans="1:25" s="23" customFormat="1" ht="18" customHeight="1" x14ac:dyDescent="0.25">
      <c r="A172" s="374">
        <f t="shared" si="73"/>
        <v>148</v>
      </c>
      <c r="B172" s="34" t="s">
        <v>215</v>
      </c>
      <c r="C172" s="176" t="s">
        <v>67</v>
      </c>
      <c r="D172" s="176"/>
      <c r="E172" s="176"/>
      <c r="F172" s="299">
        <v>3262.3</v>
      </c>
      <c r="G172" s="202">
        <v>3136.2</v>
      </c>
      <c r="H172" s="169">
        <f t="shared" si="71"/>
        <v>4335639.6900000004</v>
      </c>
      <c r="I172" s="169">
        <f>ROUND((240.98+470.74)*G172,2)-96524.67</f>
        <v>2135571.59</v>
      </c>
      <c r="J172" s="169">
        <v>0</v>
      </c>
      <c r="K172" s="169">
        <f>ROUND(670.73*G172,2)-90965.53</f>
        <v>2012577.9000000001</v>
      </c>
      <c r="L172" s="170">
        <v>0</v>
      </c>
      <c r="M172" s="169">
        <v>0</v>
      </c>
      <c r="N172" s="169">
        <v>0</v>
      </c>
      <c r="O172" s="169">
        <v>187490.2</v>
      </c>
      <c r="P172" s="169">
        <v>0</v>
      </c>
      <c r="Q172" s="169">
        <v>0</v>
      </c>
      <c r="R172" s="169">
        <v>0</v>
      </c>
      <c r="S172" s="171">
        <f t="shared" si="74"/>
        <v>4335639.6900000004</v>
      </c>
      <c r="T172" s="374">
        <v>2017</v>
      </c>
      <c r="U172" s="374">
        <v>2017</v>
      </c>
      <c r="V172" s="374">
        <f t="shared" si="72"/>
        <v>33</v>
      </c>
      <c r="W172" s="148" t="s">
        <v>142</v>
      </c>
      <c r="X172" s="149">
        <v>9</v>
      </c>
      <c r="Y172" s="150" t="s">
        <v>152</v>
      </c>
    </row>
    <row r="173" spans="1:25" s="23" customFormat="1" ht="18" customHeight="1" x14ac:dyDescent="0.25">
      <c r="A173" s="374">
        <f t="shared" si="73"/>
        <v>149</v>
      </c>
      <c r="B173" s="34" t="s">
        <v>154</v>
      </c>
      <c r="C173" s="191" t="s">
        <v>22</v>
      </c>
      <c r="D173" s="191"/>
      <c r="E173" s="191"/>
      <c r="F173" s="299">
        <v>5001.3</v>
      </c>
      <c r="G173" s="328">
        <v>3897.2</v>
      </c>
      <c r="H173" s="169">
        <f t="shared" si="71"/>
        <v>4448536.8899999997</v>
      </c>
      <c r="I173" s="169">
        <f>ROUND(470.74*G173,2)-107814.76</f>
        <v>1726753.17</v>
      </c>
      <c r="J173" s="169">
        <v>0</v>
      </c>
      <c r="K173" s="169">
        <f>ROUND(670.73*G173,2)-153618.96</f>
        <v>2460350</v>
      </c>
      <c r="L173" s="169">
        <v>0</v>
      </c>
      <c r="M173" s="169">
        <v>0</v>
      </c>
      <c r="N173" s="169"/>
      <c r="O173" s="169">
        <v>261433.72</v>
      </c>
      <c r="P173" s="170">
        <v>0</v>
      </c>
      <c r="Q173" s="170">
        <v>0</v>
      </c>
      <c r="R173" s="170">
        <v>0</v>
      </c>
      <c r="S173" s="171">
        <f t="shared" si="74"/>
        <v>4448536.8899999997</v>
      </c>
      <c r="T173" s="374">
        <v>2017</v>
      </c>
      <c r="U173" s="374">
        <v>2017</v>
      </c>
      <c r="V173" s="374">
        <f t="shared" si="72"/>
        <v>34</v>
      </c>
      <c r="W173" s="154" t="s">
        <v>142</v>
      </c>
      <c r="X173" s="155">
        <v>9</v>
      </c>
      <c r="Y173" s="156" t="s">
        <v>152</v>
      </c>
    </row>
    <row r="174" spans="1:25" s="23" customFormat="1" ht="18" customHeight="1" x14ac:dyDescent="0.25">
      <c r="A174" s="374">
        <f t="shared" si="73"/>
        <v>150</v>
      </c>
      <c r="B174" s="34" t="s">
        <v>220</v>
      </c>
      <c r="C174" s="176" t="s">
        <v>20</v>
      </c>
      <c r="D174" s="176"/>
      <c r="E174" s="176"/>
      <c r="F174" s="299">
        <v>4081.3</v>
      </c>
      <c r="G174" s="202">
        <v>4033.3</v>
      </c>
      <c r="H174" s="169">
        <f t="shared" si="71"/>
        <v>2156242.5099999998</v>
      </c>
      <c r="I174" s="169">
        <f>ROUND((229.94+304.67)*G174,2)-O174</f>
        <v>2026867.9599999997</v>
      </c>
      <c r="J174" s="169">
        <v>0</v>
      </c>
      <c r="K174" s="169">
        <v>0</v>
      </c>
      <c r="L174" s="170">
        <v>0</v>
      </c>
      <c r="M174" s="169">
        <v>0</v>
      </c>
      <c r="N174" s="169">
        <v>0</v>
      </c>
      <c r="O174" s="169">
        <v>129374.55</v>
      </c>
      <c r="P174" s="169">
        <v>0</v>
      </c>
      <c r="Q174" s="169">
        <v>0</v>
      </c>
      <c r="R174" s="169">
        <v>0</v>
      </c>
      <c r="S174" s="171">
        <f t="shared" si="74"/>
        <v>2156242.5099999998</v>
      </c>
      <c r="T174" s="374">
        <v>2017</v>
      </c>
      <c r="U174" s="374">
        <v>2017</v>
      </c>
      <c r="V174" s="374">
        <f t="shared" si="72"/>
        <v>35</v>
      </c>
      <c r="W174" s="148" t="s">
        <v>141</v>
      </c>
      <c r="X174" s="149">
        <v>9</v>
      </c>
      <c r="Y174" s="150" t="s">
        <v>152</v>
      </c>
    </row>
    <row r="175" spans="1:25" s="23" customFormat="1" ht="18" customHeight="1" x14ac:dyDescent="0.25">
      <c r="A175" s="374">
        <f t="shared" si="73"/>
        <v>151</v>
      </c>
      <c r="B175" s="34" t="s">
        <v>217</v>
      </c>
      <c r="C175" s="176" t="s">
        <v>63</v>
      </c>
      <c r="D175" s="176"/>
      <c r="E175" s="176"/>
      <c r="F175" s="299">
        <v>1593.6</v>
      </c>
      <c r="G175" s="202">
        <v>1453.6</v>
      </c>
      <c r="H175" s="169">
        <f t="shared" si="71"/>
        <v>2235883.9099999997</v>
      </c>
      <c r="I175" s="169">
        <f>ROUND((191.67+290.35)*G175,2)-36330.46</f>
        <v>664333.81000000006</v>
      </c>
      <c r="J175" s="169">
        <v>0</v>
      </c>
      <c r="K175" s="69">
        <f>ROUND(1056.15*G175,2)-79603.36</f>
        <v>1455616.2799999998</v>
      </c>
      <c r="L175" s="170">
        <v>0</v>
      </c>
      <c r="M175" s="169">
        <v>0</v>
      </c>
      <c r="N175" s="169">
        <v>0</v>
      </c>
      <c r="O175" s="169">
        <v>115933.82</v>
      </c>
      <c r="P175" s="169">
        <v>0</v>
      </c>
      <c r="Q175" s="169">
        <v>0</v>
      </c>
      <c r="R175" s="169">
        <v>0</v>
      </c>
      <c r="S175" s="171">
        <f t="shared" si="74"/>
        <v>2235883.9099999997</v>
      </c>
      <c r="T175" s="374">
        <v>2017</v>
      </c>
      <c r="U175" s="374">
        <v>2017</v>
      </c>
      <c r="V175" s="374">
        <f t="shared" si="72"/>
        <v>36</v>
      </c>
      <c r="W175" s="148" t="s">
        <v>142</v>
      </c>
      <c r="X175" s="149">
        <v>5</v>
      </c>
      <c r="Y175" s="150" t="s">
        <v>152</v>
      </c>
    </row>
    <row r="176" spans="1:25" s="23" customFormat="1" ht="18" customHeight="1" x14ac:dyDescent="0.25">
      <c r="A176" s="374">
        <f t="shared" si="73"/>
        <v>152</v>
      </c>
      <c r="B176" s="34" t="s">
        <v>200</v>
      </c>
      <c r="C176" s="176" t="s">
        <v>71</v>
      </c>
      <c r="D176" s="176"/>
      <c r="E176" s="176"/>
      <c r="F176" s="299">
        <v>607.6</v>
      </c>
      <c r="G176" s="202">
        <v>556.1</v>
      </c>
      <c r="H176" s="169">
        <f t="shared" si="71"/>
        <v>2342093</v>
      </c>
      <c r="I176" s="169">
        <v>0</v>
      </c>
      <c r="J176" s="169">
        <v>0</v>
      </c>
      <c r="K176" s="169">
        <f>ROUND(4211.64*G176,2)-O176</f>
        <v>2274353.92</v>
      </c>
      <c r="L176" s="170">
        <v>0</v>
      </c>
      <c r="M176" s="169">
        <v>0</v>
      </c>
      <c r="N176" s="169">
        <v>0</v>
      </c>
      <c r="O176" s="169">
        <v>67739.08</v>
      </c>
      <c r="P176" s="169">
        <v>0</v>
      </c>
      <c r="Q176" s="169">
        <v>0</v>
      </c>
      <c r="R176" s="169">
        <v>0</v>
      </c>
      <c r="S176" s="171">
        <f t="shared" si="74"/>
        <v>2342093</v>
      </c>
      <c r="T176" s="374">
        <v>2017</v>
      </c>
      <c r="U176" s="374">
        <v>2017</v>
      </c>
      <c r="V176" s="374">
        <f t="shared" si="72"/>
        <v>37</v>
      </c>
      <c r="W176" s="148" t="s">
        <v>151</v>
      </c>
      <c r="X176" s="149">
        <v>2</v>
      </c>
      <c r="Y176" s="150" t="s">
        <v>153</v>
      </c>
    </row>
    <row r="177" spans="1:25" s="23" customFormat="1" ht="18" customHeight="1" x14ac:dyDescent="0.25">
      <c r="A177" s="374">
        <f t="shared" si="73"/>
        <v>153</v>
      </c>
      <c r="B177" s="34" t="s">
        <v>185</v>
      </c>
      <c r="C177" s="191" t="s">
        <v>62</v>
      </c>
      <c r="D177" s="191"/>
      <c r="E177" s="191"/>
      <c r="F177" s="299">
        <v>3856.7</v>
      </c>
      <c r="G177" s="202">
        <v>3204.4</v>
      </c>
      <c r="H177" s="169">
        <f t="shared" si="71"/>
        <v>10954241.4</v>
      </c>
      <c r="I177" s="169">
        <f>ROUND((191.67+381.86+292.97+727.06)*G177,2)-188265.06</f>
        <v>4918138.6000000006</v>
      </c>
      <c r="J177" s="169">
        <v>0</v>
      </c>
      <c r="K177" s="170">
        <f>ROUND(1824.94*G177,2)-215600.56</f>
        <v>5632237.1800000006</v>
      </c>
      <c r="L177" s="169">
        <v>0</v>
      </c>
      <c r="M177" s="169">
        <v>0</v>
      </c>
      <c r="N177" s="169">
        <v>0</v>
      </c>
      <c r="O177" s="169">
        <v>403865.62</v>
      </c>
      <c r="P177" s="169">
        <v>0</v>
      </c>
      <c r="Q177" s="169">
        <v>0</v>
      </c>
      <c r="R177" s="169">
        <v>0</v>
      </c>
      <c r="S177" s="171">
        <f t="shared" si="74"/>
        <v>10954241.4</v>
      </c>
      <c r="T177" s="374">
        <v>2017</v>
      </c>
      <c r="U177" s="374">
        <v>2017</v>
      </c>
      <c r="V177" s="374">
        <f t="shared" si="72"/>
        <v>38</v>
      </c>
      <c r="W177" s="148" t="s">
        <v>142</v>
      </c>
      <c r="X177" s="149">
        <v>5</v>
      </c>
      <c r="Y177" s="150" t="s">
        <v>153</v>
      </c>
    </row>
    <row r="178" spans="1:25" s="23" customFormat="1" ht="18" customHeight="1" x14ac:dyDescent="0.25">
      <c r="A178" s="374">
        <f t="shared" si="73"/>
        <v>154</v>
      </c>
      <c r="B178" s="329" t="s">
        <v>255</v>
      </c>
      <c r="C178" s="176" t="s">
        <v>429</v>
      </c>
      <c r="D178" s="176"/>
      <c r="E178" s="176"/>
      <c r="F178" s="299">
        <v>3795.3</v>
      </c>
      <c r="G178" s="202">
        <v>3607.6</v>
      </c>
      <c r="H178" s="169">
        <f t="shared" si="71"/>
        <v>1445601.4</v>
      </c>
      <c r="I178" s="169">
        <f>ROUND(400.71*G178,2)-O178</f>
        <v>1358865.3199999998</v>
      </c>
      <c r="J178" s="169">
        <v>0</v>
      </c>
      <c r="K178" s="169">
        <v>0</v>
      </c>
      <c r="L178" s="170">
        <v>0</v>
      </c>
      <c r="M178" s="169">
        <v>0</v>
      </c>
      <c r="N178" s="169">
        <v>0</v>
      </c>
      <c r="O178" s="169">
        <v>86736.08</v>
      </c>
      <c r="P178" s="169">
        <v>0</v>
      </c>
      <c r="Q178" s="169">
        <v>0</v>
      </c>
      <c r="R178" s="169">
        <v>0</v>
      </c>
      <c r="S178" s="171">
        <f t="shared" si="74"/>
        <v>1445601.4</v>
      </c>
      <c r="T178" s="374">
        <v>2017</v>
      </c>
      <c r="U178" s="374">
        <v>2017</v>
      </c>
      <c r="V178" s="374">
        <f t="shared" si="72"/>
        <v>39</v>
      </c>
      <c r="W178" s="148" t="s">
        <v>141</v>
      </c>
      <c r="X178" s="149">
        <v>9</v>
      </c>
      <c r="Y178" s="150" t="s">
        <v>152</v>
      </c>
    </row>
    <row r="179" spans="1:25" s="23" customFormat="1" ht="18" customHeight="1" x14ac:dyDescent="0.25">
      <c r="A179" s="374">
        <f t="shared" si="73"/>
        <v>155</v>
      </c>
      <c r="B179" s="34" t="s">
        <v>201</v>
      </c>
      <c r="C179" s="176" t="s">
        <v>431</v>
      </c>
      <c r="D179" s="176"/>
      <c r="E179" s="176"/>
      <c r="F179" s="299">
        <v>2746.1</v>
      </c>
      <c r="G179" s="202">
        <v>2688.2</v>
      </c>
      <c r="H179" s="169">
        <f t="shared" si="71"/>
        <v>2882960.09</v>
      </c>
      <c r="I179" s="169">
        <v>0</v>
      </c>
      <c r="J179" s="169">
        <v>0</v>
      </c>
      <c r="K179" s="169">
        <f>ROUND(1072.45*G179,2)-O179</f>
        <v>2804543.19</v>
      </c>
      <c r="L179" s="170">
        <v>0</v>
      </c>
      <c r="M179" s="169">
        <v>0</v>
      </c>
      <c r="N179" s="169">
        <v>0</v>
      </c>
      <c r="O179" s="169">
        <v>78416.899999999994</v>
      </c>
      <c r="P179" s="169">
        <v>0</v>
      </c>
      <c r="Q179" s="169">
        <v>0</v>
      </c>
      <c r="R179" s="169">
        <v>0</v>
      </c>
      <c r="S179" s="171">
        <f t="shared" si="74"/>
        <v>2882960.09</v>
      </c>
      <c r="T179" s="374">
        <v>2017</v>
      </c>
      <c r="U179" s="374">
        <v>2017</v>
      </c>
      <c r="V179" s="374">
        <f t="shared" si="72"/>
        <v>40</v>
      </c>
      <c r="W179" s="148" t="s">
        <v>141</v>
      </c>
      <c r="X179" s="149">
        <v>5</v>
      </c>
      <c r="Y179" s="150" t="s">
        <v>152</v>
      </c>
    </row>
    <row r="180" spans="1:25" s="23" customFormat="1" ht="18" customHeight="1" x14ac:dyDescent="0.25">
      <c r="A180" s="374">
        <f t="shared" si="73"/>
        <v>156</v>
      </c>
      <c r="B180" s="65" t="s">
        <v>418</v>
      </c>
      <c r="C180" s="176" t="s">
        <v>24</v>
      </c>
      <c r="D180" s="176"/>
      <c r="E180" s="176"/>
      <c r="F180" s="299">
        <v>3839.9</v>
      </c>
      <c r="G180" s="202">
        <v>3664.3</v>
      </c>
      <c r="H180" s="169">
        <f t="shared" si="71"/>
        <v>2578714.48</v>
      </c>
      <c r="I180" s="169">
        <v>0</v>
      </c>
      <c r="J180" s="169">
        <v>0</v>
      </c>
      <c r="K180" s="170">
        <f>ROUND(703.74*G180,2)-O180</f>
        <v>2507529.7999999998</v>
      </c>
      <c r="L180" s="170">
        <v>0</v>
      </c>
      <c r="M180" s="169">
        <v>0</v>
      </c>
      <c r="N180" s="169">
        <v>0</v>
      </c>
      <c r="O180" s="169">
        <v>71184.679999999993</v>
      </c>
      <c r="P180" s="169">
        <v>0</v>
      </c>
      <c r="Q180" s="169">
        <v>0</v>
      </c>
      <c r="R180" s="169">
        <v>0</v>
      </c>
      <c r="S180" s="171">
        <f t="shared" si="74"/>
        <v>2578714.48</v>
      </c>
      <c r="T180" s="374">
        <v>2017</v>
      </c>
      <c r="U180" s="374">
        <v>2017</v>
      </c>
      <c r="V180" s="374">
        <f t="shared" si="72"/>
        <v>41</v>
      </c>
      <c r="W180" s="148" t="s">
        <v>141</v>
      </c>
      <c r="X180" s="149">
        <v>9</v>
      </c>
      <c r="Y180" s="150" t="s">
        <v>152</v>
      </c>
    </row>
    <row r="181" spans="1:25" s="23" customFormat="1" ht="18" customHeight="1" x14ac:dyDescent="0.25">
      <c r="A181" s="374">
        <f t="shared" si="73"/>
        <v>157</v>
      </c>
      <c r="B181" s="34" t="s">
        <v>213</v>
      </c>
      <c r="C181" s="176" t="s">
        <v>53</v>
      </c>
      <c r="D181" s="176"/>
      <c r="E181" s="176"/>
      <c r="F181" s="299">
        <v>1365.9</v>
      </c>
      <c r="G181" s="202">
        <v>1329.5</v>
      </c>
      <c r="H181" s="169">
        <f t="shared" si="71"/>
        <v>2426257.73</v>
      </c>
      <c r="I181" s="169">
        <v>0</v>
      </c>
      <c r="J181" s="169">
        <v>0</v>
      </c>
      <c r="K181" s="170">
        <f>ROUND(1824.94*G181,2)-O181</f>
        <v>2353769.15</v>
      </c>
      <c r="L181" s="170">
        <v>0</v>
      </c>
      <c r="M181" s="169">
        <v>0</v>
      </c>
      <c r="N181" s="169">
        <v>0</v>
      </c>
      <c r="O181" s="169">
        <v>72488.58</v>
      </c>
      <c r="P181" s="169">
        <v>0</v>
      </c>
      <c r="Q181" s="169">
        <v>0</v>
      </c>
      <c r="R181" s="169">
        <v>0</v>
      </c>
      <c r="S181" s="171">
        <f t="shared" si="74"/>
        <v>2426257.73</v>
      </c>
      <c r="T181" s="374">
        <v>2017</v>
      </c>
      <c r="U181" s="374">
        <v>2017</v>
      </c>
      <c r="V181" s="374">
        <f t="shared" si="72"/>
        <v>42</v>
      </c>
      <c r="W181" s="148" t="s">
        <v>142</v>
      </c>
      <c r="X181" s="149">
        <v>3</v>
      </c>
      <c r="Y181" s="150" t="s">
        <v>153</v>
      </c>
    </row>
    <row r="182" spans="1:25" s="23" customFormat="1" ht="18" customHeight="1" x14ac:dyDescent="0.25">
      <c r="A182" s="374">
        <f t="shared" si="73"/>
        <v>158</v>
      </c>
      <c r="B182" s="330" t="s">
        <v>206</v>
      </c>
      <c r="C182" s="176" t="s">
        <v>432</v>
      </c>
      <c r="D182" s="176"/>
      <c r="E182" s="176"/>
      <c r="F182" s="299">
        <v>423.2</v>
      </c>
      <c r="G182" s="331">
        <v>383.7</v>
      </c>
      <c r="H182" s="169">
        <f t="shared" si="71"/>
        <v>1616006.27</v>
      </c>
      <c r="I182" s="169">
        <v>0</v>
      </c>
      <c r="J182" s="169">
        <v>0</v>
      </c>
      <c r="K182" s="170">
        <f>ROUND(4211.64*G182,2)-O182</f>
        <v>1540210.15</v>
      </c>
      <c r="L182" s="170">
        <v>0</v>
      </c>
      <c r="M182" s="169">
        <v>0</v>
      </c>
      <c r="N182" s="169">
        <v>0</v>
      </c>
      <c r="O182" s="169">
        <v>75796.12</v>
      </c>
      <c r="P182" s="169">
        <v>0</v>
      </c>
      <c r="Q182" s="169">
        <v>0</v>
      </c>
      <c r="R182" s="169">
        <v>0</v>
      </c>
      <c r="S182" s="171">
        <f t="shared" si="74"/>
        <v>1616006.27</v>
      </c>
      <c r="T182" s="374">
        <v>2017</v>
      </c>
      <c r="U182" s="374">
        <v>2017</v>
      </c>
      <c r="V182" s="374">
        <f t="shared" si="72"/>
        <v>43</v>
      </c>
      <c r="W182" s="157" t="s">
        <v>142</v>
      </c>
      <c r="X182" s="149">
        <v>2</v>
      </c>
      <c r="Y182" s="158" t="s">
        <v>153</v>
      </c>
    </row>
    <row r="183" spans="1:25" s="23" customFormat="1" ht="18" customHeight="1" x14ac:dyDescent="0.25">
      <c r="A183" s="374">
        <f t="shared" si="73"/>
        <v>159</v>
      </c>
      <c r="B183" s="34" t="s">
        <v>243</v>
      </c>
      <c r="C183" s="176" t="s">
        <v>22</v>
      </c>
      <c r="D183" s="176"/>
      <c r="E183" s="176"/>
      <c r="F183" s="299">
        <v>3946.4</v>
      </c>
      <c r="G183" s="202">
        <v>3741.7</v>
      </c>
      <c r="H183" s="169">
        <f t="shared" si="71"/>
        <v>2509670.44</v>
      </c>
      <c r="I183" s="169">
        <v>0</v>
      </c>
      <c r="J183" s="169">
        <v>0</v>
      </c>
      <c r="K183" s="169">
        <f>ROUND(670.73*G183,2)-O183</f>
        <v>2437469.7799999998</v>
      </c>
      <c r="L183" s="170">
        <v>0</v>
      </c>
      <c r="M183" s="169">
        <v>0</v>
      </c>
      <c r="N183" s="169">
        <v>0</v>
      </c>
      <c r="O183" s="169">
        <v>72200.66</v>
      </c>
      <c r="P183" s="169">
        <v>0</v>
      </c>
      <c r="Q183" s="169">
        <v>0</v>
      </c>
      <c r="R183" s="169">
        <v>0</v>
      </c>
      <c r="S183" s="171">
        <f t="shared" si="74"/>
        <v>2509670.44</v>
      </c>
      <c r="T183" s="374">
        <v>2017</v>
      </c>
      <c r="U183" s="374">
        <v>2017</v>
      </c>
      <c r="V183" s="374">
        <f t="shared" si="72"/>
        <v>44</v>
      </c>
      <c r="W183" s="148" t="s">
        <v>142</v>
      </c>
      <c r="X183" s="149">
        <v>9</v>
      </c>
      <c r="Y183" s="150" t="s">
        <v>152</v>
      </c>
    </row>
    <row r="184" spans="1:25" s="23" customFormat="1" ht="18" customHeight="1" x14ac:dyDescent="0.25">
      <c r="A184" s="374">
        <f t="shared" si="73"/>
        <v>160</v>
      </c>
      <c r="B184" s="34" t="s">
        <v>192</v>
      </c>
      <c r="C184" s="176" t="s">
        <v>429</v>
      </c>
      <c r="D184" s="176"/>
      <c r="E184" s="176"/>
      <c r="F184" s="299">
        <v>3836.2</v>
      </c>
      <c r="G184" s="202">
        <v>3818.8</v>
      </c>
      <c r="H184" s="169">
        <f t="shared" si="71"/>
        <v>6075603.3200000003</v>
      </c>
      <c r="I184" s="169">
        <v>0</v>
      </c>
      <c r="J184" s="324">
        <f>3037801.66*2-O184</f>
        <v>5923713.2400000002</v>
      </c>
      <c r="K184" s="169">
        <v>0</v>
      </c>
      <c r="L184" s="170">
        <v>0</v>
      </c>
      <c r="M184" s="169">
        <v>0</v>
      </c>
      <c r="N184" s="169">
        <v>0</v>
      </c>
      <c r="O184" s="169">
        <v>151890.07999999999</v>
      </c>
      <c r="P184" s="169">
        <v>0</v>
      </c>
      <c r="Q184" s="169">
        <v>0</v>
      </c>
      <c r="R184" s="169">
        <v>0</v>
      </c>
      <c r="S184" s="171">
        <f t="shared" si="74"/>
        <v>6075603.3200000003</v>
      </c>
      <c r="T184" s="374">
        <v>2017</v>
      </c>
      <c r="U184" s="374">
        <v>2017</v>
      </c>
      <c r="V184" s="374">
        <f t="shared" si="72"/>
        <v>45</v>
      </c>
      <c r="W184" s="148" t="s">
        <v>141</v>
      </c>
      <c r="X184" s="149">
        <v>9</v>
      </c>
      <c r="Y184" s="150" t="s">
        <v>152</v>
      </c>
    </row>
    <row r="185" spans="1:25" s="23" customFormat="1" ht="18" customHeight="1" x14ac:dyDescent="0.25">
      <c r="A185" s="374">
        <f t="shared" si="73"/>
        <v>161</v>
      </c>
      <c r="B185" s="65" t="s">
        <v>123</v>
      </c>
      <c r="C185" s="191" t="s">
        <v>113</v>
      </c>
      <c r="D185" s="191"/>
      <c r="E185" s="191"/>
      <c r="F185" s="299">
        <v>9145.2999999999993</v>
      </c>
      <c r="G185" s="202">
        <v>7703.2</v>
      </c>
      <c r="H185" s="169">
        <f t="shared" si="71"/>
        <v>6204619.4699999997</v>
      </c>
      <c r="I185" s="169">
        <f>ROUND((229.94+304.67+270.85)*G185,2)-O185</f>
        <v>5832342.2999999998</v>
      </c>
      <c r="J185" s="332">
        <v>0</v>
      </c>
      <c r="K185" s="169">
        <v>0</v>
      </c>
      <c r="L185" s="169">
        <v>0</v>
      </c>
      <c r="M185" s="169">
        <v>0</v>
      </c>
      <c r="N185" s="169">
        <v>0</v>
      </c>
      <c r="O185" s="169">
        <v>372277.17</v>
      </c>
      <c r="P185" s="169">
        <v>0</v>
      </c>
      <c r="Q185" s="169">
        <v>0</v>
      </c>
      <c r="R185" s="169">
        <v>0</v>
      </c>
      <c r="S185" s="171">
        <f t="shared" si="74"/>
        <v>6204619.4699999997</v>
      </c>
      <c r="T185" s="374">
        <v>2017</v>
      </c>
      <c r="U185" s="374">
        <v>2017</v>
      </c>
      <c r="V185" s="374">
        <f t="shared" si="72"/>
        <v>46</v>
      </c>
      <c r="W185" s="148" t="s">
        <v>141</v>
      </c>
      <c r="X185" s="149">
        <v>9</v>
      </c>
      <c r="Y185" s="150" t="s">
        <v>152</v>
      </c>
    </row>
    <row r="186" spans="1:25" s="23" customFormat="1" ht="18" customHeight="1" x14ac:dyDescent="0.25">
      <c r="A186" s="374">
        <f t="shared" si="73"/>
        <v>162</v>
      </c>
      <c r="B186" s="65" t="s">
        <v>187</v>
      </c>
      <c r="C186" s="191" t="s">
        <v>432</v>
      </c>
      <c r="D186" s="191"/>
      <c r="E186" s="191"/>
      <c r="F186" s="299">
        <v>649.79999999999995</v>
      </c>
      <c r="G186" s="202">
        <v>592.29999999999995</v>
      </c>
      <c r="H186" s="169">
        <f t="shared" si="71"/>
        <v>1001040.3099999999</v>
      </c>
      <c r="I186" s="169">
        <f>ROUND((197.29+298.86+301.56+748.38)*G186,2)-O186</f>
        <v>872603.59</v>
      </c>
      <c r="J186" s="332">
        <v>0</v>
      </c>
      <c r="K186" s="169">
        <v>0</v>
      </c>
      <c r="L186" s="169">
        <v>0</v>
      </c>
      <c r="M186" s="169">
        <v>0</v>
      </c>
      <c r="N186" s="305">
        <f>ROUND(592.3*144,2)</f>
        <v>85291.199999999997</v>
      </c>
      <c r="O186" s="169">
        <v>43145.52</v>
      </c>
      <c r="P186" s="169">
        <v>0</v>
      </c>
      <c r="Q186" s="169">
        <v>0</v>
      </c>
      <c r="R186" s="169">
        <v>0</v>
      </c>
      <c r="S186" s="171">
        <f t="shared" si="74"/>
        <v>1001040.3099999999</v>
      </c>
      <c r="T186" s="374">
        <v>2016</v>
      </c>
      <c r="U186" s="374">
        <v>2017</v>
      </c>
      <c r="V186" s="374">
        <f t="shared" si="72"/>
        <v>47</v>
      </c>
      <c r="W186" s="148" t="s">
        <v>142</v>
      </c>
      <c r="X186" s="149">
        <v>2</v>
      </c>
      <c r="Y186" s="150" t="s">
        <v>153</v>
      </c>
    </row>
    <row r="187" spans="1:25" s="23" customFormat="1" ht="18" customHeight="1" x14ac:dyDescent="0.25">
      <c r="A187" s="374">
        <f t="shared" si="73"/>
        <v>163</v>
      </c>
      <c r="B187" s="65" t="s">
        <v>186</v>
      </c>
      <c r="C187" s="191" t="s">
        <v>432</v>
      </c>
      <c r="D187" s="191"/>
      <c r="E187" s="191"/>
      <c r="F187" s="299">
        <v>655.6</v>
      </c>
      <c r="G187" s="202">
        <v>602</v>
      </c>
      <c r="H187" s="169">
        <f t="shared" si="71"/>
        <v>3346162.8199999994</v>
      </c>
      <c r="I187" s="169">
        <v>0</v>
      </c>
      <c r="J187" s="332">
        <v>0</v>
      </c>
      <c r="K187" s="170">
        <f>ROUND(4211.64*G187,2)-57487.49</f>
        <v>2477919.7899999996</v>
      </c>
      <c r="L187" s="169">
        <v>0</v>
      </c>
      <c r="M187" s="170">
        <f>ROUND(1346.77*G187,2)-18382.97</f>
        <v>792372.57000000007</v>
      </c>
      <c r="N187" s="169">
        <v>0</v>
      </c>
      <c r="O187" s="169">
        <v>75870.460000000006</v>
      </c>
      <c r="P187" s="169">
        <v>0</v>
      </c>
      <c r="Q187" s="169">
        <v>0</v>
      </c>
      <c r="R187" s="169">
        <v>0</v>
      </c>
      <c r="S187" s="171">
        <f t="shared" si="74"/>
        <v>3346162.8199999994</v>
      </c>
      <c r="T187" s="374">
        <v>2017</v>
      </c>
      <c r="U187" s="374">
        <v>2017</v>
      </c>
      <c r="V187" s="374">
        <f t="shared" si="72"/>
        <v>48</v>
      </c>
      <c r="W187" s="148" t="s">
        <v>142</v>
      </c>
      <c r="X187" s="149">
        <v>2</v>
      </c>
      <c r="Y187" s="150" t="s">
        <v>153</v>
      </c>
    </row>
    <row r="188" spans="1:25" s="23" customFormat="1" ht="18" customHeight="1" x14ac:dyDescent="0.25">
      <c r="A188" s="374">
        <f t="shared" si="73"/>
        <v>164</v>
      </c>
      <c r="B188" s="65" t="s">
        <v>188</v>
      </c>
      <c r="C188" s="176" t="s">
        <v>429</v>
      </c>
      <c r="D188" s="176"/>
      <c r="E188" s="176"/>
      <c r="F188" s="299">
        <v>3889.1</v>
      </c>
      <c r="G188" s="202">
        <v>3858.2</v>
      </c>
      <c r="H188" s="169">
        <f t="shared" si="71"/>
        <v>6075603.3200000003</v>
      </c>
      <c r="I188" s="169">
        <v>0</v>
      </c>
      <c r="J188" s="324">
        <f>3037801.66*2-O188</f>
        <v>5923713.2400000002</v>
      </c>
      <c r="K188" s="169">
        <v>0</v>
      </c>
      <c r="L188" s="170">
        <v>0</v>
      </c>
      <c r="M188" s="169">
        <v>0</v>
      </c>
      <c r="N188" s="169">
        <v>0</v>
      </c>
      <c r="O188" s="169">
        <v>151890.07999999999</v>
      </c>
      <c r="P188" s="169">
        <v>0</v>
      </c>
      <c r="Q188" s="169">
        <v>0</v>
      </c>
      <c r="R188" s="169">
        <v>0</v>
      </c>
      <c r="S188" s="171">
        <f t="shared" si="74"/>
        <v>6075603.3200000003</v>
      </c>
      <c r="T188" s="374">
        <v>2017</v>
      </c>
      <c r="U188" s="374">
        <v>2017</v>
      </c>
      <c r="V188" s="374">
        <f t="shared" si="72"/>
        <v>49</v>
      </c>
      <c r="W188" s="148" t="s">
        <v>141</v>
      </c>
      <c r="X188" s="149">
        <v>9</v>
      </c>
      <c r="Y188" s="150" t="s">
        <v>152</v>
      </c>
    </row>
    <row r="189" spans="1:25" s="23" customFormat="1" ht="18" customHeight="1" x14ac:dyDescent="0.25">
      <c r="A189" s="374">
        <f t="shared" si="73"/>
        <v>165</v>
      </c>
      <c r="B189" s="65" t="s">
        <v>190</v>
      </c>
      <c r="C189" s="176" t="s">
        <v>433</v>
      </c>
      <c r="D189" s="176"/>
      <c r="E189" s="176"/>
      <c r="F189" s="299">
        <v>923.9</v>
      </c>
      <c r="G189" s="202">
        <v>825.7</v>
      </c>
      <c r="H189" s="169">
        <f t="shared" si="71"/>
        <v>3477551.15</v>
      </c>
      <c r="I189" s="169">
        <v>0</v>
      </c>
      <c r="J189" s="332">
        <v>0</v>
      </c>
      <c r="K189" s="170">
        <f>ROUND(4211.64*G189,2)-O189</f>
        <v>3408449.17</v>
      </c>
      <c r="L189" s="170">
        <v>0</v>
      </c>
      <c r="M189" s="169">
        <v>0</v>
      </c>
      <c r="N189" s="169">
        <v>0</v>
      </c>
      <c r="O189" s="169">
        <v>69101.98</v>
      </c>
      <c r="P189" s="169">
        <v>0</v>
      </c>
      <c r="Q189" s="169">
        <v>0</v>
      </c>
      <c r="R189" s="169">
        <v>0</v>
      </c>
      <c r="S189" s="171">
        <f t="shared" si="74"/>
        <v>3477551.15</v>
      </c>
      <c r="T189" s="374">
        <v>2017</v>
      </c>
      <c r="U189" s="374">
        <v>2017</v>
      </c>
      <c r="V189" s="374">
        <f t="shared" si="72"/>
        <v>50</v>
      </c>
      <c r="W189" s="148" t="s">
        <v>142</v>
      </c>
      <c r="X189" s="149">
        <v>2</v>
      </c>
      <c r="Y189" s="150" t="s">
        <v>153</v>
      </c>
    </row>
    <row r="190" spans="1:25" s="23" customFormat="1" ht="18" customHeight="1" x14ac:dyDescent="0.25">
      <c r="A190" s="374">
        <f t="shared" si="73"/>
        <v>166</v>
      </c>
      <c r="B190" s="65" t="s">
        <v>189</v>
      </c>
      <c r="C190" s="176" t="s">
        <v>429</v>
      </c>
      <c r="D190" s="176"/>
      <c r="E190" s="176"/>
      <c r="F190" s="299">
        <v>3883.9</v>
      </c>
      <c r="G190" s="202">
        <v>3866.9</v>
      </c>
      <c r="H190" s="169">
        <f t="shared" si="71"/>
        <v>6075603.3200000003</v>
      </c>
      <c r="I190" s="169">
        <v>0</v>
      </c>
      <c r="J190" s="324">
        <f>3037801.66*2-O190</f>
        <v>5923713.2400000002</v>
      </c>
      <c r="K190" s="169">
        <v>0</v>
      </c>
      <c r="L190" s="170">
        <v>0</v>
      </c>
      <c r="M190" s="169">
        <v>0</v>
      </c>
      <c r="N190" s="169">
        <v>0</v>
      </c>
      <c r="O190" s="169">
        <v>151890.07999999999</v>
      </c>
      <c r="P190" s="169">
        <v>0</v>
      </c>
      <c r="Q190" s="169">
        <v>0</v>
      </c>
      <c r="R190" s="169">
        <v>0</v>
      </c>
      <c r="S190" s="171">
        <f t="shared" si="74"/>
        <v>6075603.3200000003</v>
      </c>
      <c r="T190" s="374">
        <v>2017</v>
      </c>
      <c r="U190" s="374">
        <v>2017</v>
      </c>
      <c r="V190" s="374">
        <f t="shared" si="72"/>
        <v>51</v>
      </c>
      <c r="W190" s="148" t="s">
        <v>141</v>
      </c>
      <c r="X190" s="149">
        <v>9</v>
      </c>
      <c r="Y190" s="150" t="s">
        <v>152</v>
      </c>
    </row>
    <row r="191" spans="1:25" s="23" customFormat="1" ht="18" customHeight="1" x14ac:dyDescent="0.25">
      <c r="A191" s="374">
        <f t="shared" si="73"/>
        <v>167</v>
      </c>
      <c r="B191" s="65" t="s">
        <v>236</v>
      </c>
      <c r="C191" s="176" t="s">
        <v>71</v>
      </c>
      <c r="D191" s="176"/>
      <c r="E191" s="176"/>
      <c r="F191" s="299">
        <v>1758.3</v>
      </c>
      <c r="G191" s="202">
        <v>1539.8</v>
      </c>
      <c r="H191" s="169">
        <f t="shared" si="71"/>
        <v>1762701.45</v>
      </c>
      <c r="I191" s="169">
        <v>0</v>
      </c>
      <c r="J191" s="169">
        <v>0</v>
      </c>
      <c r="K191" s="169">
        <v>0</v>
      </c>
      <c r="L191" s="170">
        <v>0</v>
      </c>
      <c r="M191" s="170">
        <f>ROUND(1144.76*G191,2)-O191</f>
        <v>1665228.73</v>
      </c>
      <c r="N191" s="169">
        <v>0</v>
      </c>
      <c r="O191" s="169">
        <v>97472.72</v>
      </c>
      <c r="P191" s="169">
        <v>0</v>
      </c>
      <c r="Q191" s="169">
        <v>0</v>
      </c>
      <c r="R191" s="169">
        <v>0</v>
      </c>
      <c r="S191" s="171">
        <f t="shared" si="74"/>
        <v>1762701.45</v>
      </c>
      <c r="T191" s="374">
        <v>2017</v>
      </c>
      <c r="U191" s="374">
        <v>2017</v>
      </c>
      <c r="V191" s="374">
        <f t="shared" si="72"/>
        <v>52</v>
      </c>
      <c r="W191" s="148" t="s">
        <v>142</v>
      </c>
      <c r="X191" s="149">
        <v>3</v>
      </c>
      <c r="Y191" s="150" t="s">
        <v>153</v>
      </c>
    </row>
    <row r="192" spans="1:25" s="23" customFormat="1" ht="18" customHeight="1" x14ac:dyDescent="0.25">
      <c r="A192" s="374">
        <f t="shared" si="73"/>
        <v>168</v>
      </c>
      <c r="B192" s="65" t="s">
        <v>238</v>
      </c>
      <c r="C192" s="176" t="s">
        <v>75</v>
      </c>
      <c r="D192" s="176"/>
      <c r="E192" s="176"/>
      <c r="F192" s="299">
        <v>1999.2</v>
      </c>
      <c r="G192" s="202">
        <v>1559.7</v>
      </c>
      <c r="H192" s="169">
        <f t="shared" si="71"/>
        <v>5983321.1400000006</v>
      </c>
      <c r="I192" s="169">
        <f>ROUND((191.67+381.86+292.97)*G192,2)-61272.24</f>
        <v>1290207.81</v>
      </c>
      <c r="J192" s="169">
        <v>0</v>
      </c>
      <c r="K192" s="170">
        <f>ROUND(1824.94*G192,2)-129045.77</f>
        <v>2717313.15</v>
      </c>
      <c r="L192" s="170">
        <v>0</v>
      </c>
      <c r="M192" s="170">
        <f>ROUND(1144.76*G192,2)-80948.65</f>
        <v>1704533.52</v>
      </c>
      <c r="N192" s="169">
        <v>0</v>
      </c>
      <c r="O192" s="169">
        <v>271266.65999999997</v>
      </c>
      <c r="P192" s="169">
        <v>0</v>
      </c>
      <c r="Q192" s="169">
        <v>0</v>
      </c>
      <c r="R192" s="169">
        <v>0</v>
      </c>
      <c r="S192" s="171">
        <f t="shared" si="74"/>
        <v>5983321.1400000006</v>
      </c>
      <c r="T192" s="374">
        <v>2017</v>
      </c>
      <c r="U192" s="374">
        <v>2017</v>
      </c>
      <c r="V192" s="374">
        <f t="shared" si="72"/>
        <v>53</v>
      </c>
      <c r="W192" s="148" t="s">
        <v>142</v>
      </c>
      <c r="X192" s="149">
        <v>3</v>
      </c>
      <c r="Y192" s="150" t="s">
        <v>153</v>
      </c>
    </row>
    <row r="193" spans="1:25" s="23" customFormat="1" ht="18" customHeight="1" x14ac:dyDescent="0.25">
      <c r="A193" s="374">
        <f t="shared" si="73"/>
        <v>169</v>
      </c>
      <c r="B193" s="65" t="s">
        <v>221</v>
      </c>
      <c r="C193" s="176" t="s">
        <v>95</v>
      </c>
      <c r="D193" s="176"/>
      <c r="E193" s="176"/>
      <c r="F193" s="299">
        <v>5741.3</v>
      </c>
      <c r="G193" s="202">
        <v>5692.3</v>
      </c>
      <c r="H193" s="169">
        <f t="shared" si="71"/>
        <v>6104707.1399999997</v>
      </c>
      <c r="I193" s="169">
        <v>0</v>
      </c>
      <c r="J193" s="169">
        <v>0</v>
      </c>
      <c r="K193" s="37">
        <f>ROUND(1072.45*G193,2)-O193</f>
        <v>5967337.4399999995</v>
      </c>
      <c r="L193" s="170">
        <v>0</v>
      </c>
      <c r="M193" s="169">
        <v>0</v>
      </c>
      <c r="N193" s="169">
        <v>0</v>
      </c>
      <c r="O193" s="169">
        <v>137369.70000000001</v>
      </c>
      <c r="P193" s="169">
        <v>0</v>
      </c>
      <c r="Q193" s="169">
        <v>0</v>
      </c>
      <c r="R193" s="169">
        <v>0</v>
      </c>
      <c r="S193" s="171">
        <f t="shared" si="74"/>
        <v>6104707.1399999997</v>
      </c>
      <c r="T193" s="374">
        <v>2017</v>
      </c>
      <c r="U193" s="374">
        <v>2017</v>
      </c>
      <c r="V193" s="374">
        <f t="shared" si="72"/>
        <v>54</v>
      </c>
      <c r="W193" s="148" t="s">
        <v>141</v>
      </c>
      <c r="X193" s="149">
        <v>5</v>
      </c>
      <c r="Y193" s="150" t="s">
        <v>152</v>
      </c>
    </row>
    <row r="194" spans="1:25" s="23" customFormat="1" ht="35.25" customHeight="1" x14ac:dyDescent="0.25">
      <c r="A194" s="374">
        <f t="shared" si="73"/>
        <v>170</v>
      </c>
      <c r="B194" s="65" t="s">
        <v>235</v>
      </c>
      <c r="C194" s="176" t="s">
        <v>18</v>
      </c>
      <c r="D194" s="176"/>
      <c r="E194" s="176"/>
      <c r="F194" s="299">
        <v>858.5</v>
      </c>
      <c r="G194" s="202">
        <v>632.20000000000005</v>
      </c>
      <c r="H194" s="169">
        <f t="shared" si="71"/>
        <v>1153727.07</v>
      </c>
      <c r="I194" s="169">
        <v>0</v>
      </c>
      <c r="J194" s="169">
        <v>0</v>
      </c>
      <c r="K194" s="170">
        <f>ROUND(1824.94*G194,2)-O194</f>
        <v>1098892.47</v>
      </c>
      <c r="L194" s="170">
        <v>0</v>
      </c>
      <c r="M194" s="169">
        <v>0</v>
      </c>
      <c r="N194" s="169">
        <v>0</v>
      </c>
      <c r="O194" s="169">
        <v>54834.6</v>
      </c>
      <c r="P194" s="169">
        <v>0</v>
      </c>
      <c r="Q194" s="169">
        <v>0</v>
      </c>
      <c r="R194" s="169">
        <v>0</v>
      </c>
      <c r="S194" s="171">
        <f t="shared" si="74"/>
        <v>1153727.07</v>
      </c>
      <c r="T194" s="374">
        <v>2017</v>
      </c>
      <c r="U194" s="374">
        <v>2017</v>
      </c>
      <c r="V194" s="374">
        <f t="shared" si="72"/>
        <v>55</v>
      </c>
      <c r="W194" s="148" t="s">
        <v>142</v>
      </c>
      <c r="X194" s="149">
        <v>4</v>
      </c>
      <c r="Y194" s="150" t="s">
        <v>153</v>
      </c>
    </row>
    <row r="195" spans="1:25" s="23" customFormat="1" ht="18" customHeight="1" x14ac:dyDescent="0.25">
      <c r="A195" s="374">
        <f t="shared" si="73"/>
        <v>171</v>
      </c>
      <c r="B195" s="34" t="s">
        <v>191</v>
      </c>
      <c r="C195" s="176" t="s">
        <v>99</v>
      </c>
      <c r="D195" s="176"/>
      <c r="E195" s="176"/>
      <c r="F195" s="299">
        <v>3603.7</v>
      </c>
      <c r="G195" s="202">
        <v>3339.9</v>
      </c>
      <c r="H195" s="169">
        <f t="shared" si="71"/>
        <v>3037801.66</v>
      </c>
      <c r="I195" s="169">
        <v>0</v>
      </c>
      <c r="J195" s="324">
        <f>3037801.66-O195</f>
        <v>2961856.62</v>
      </c>
      <c r="K195" s="169">
        <v>0</v>
      </c>
      <c r="L195" s="170">
        <v>0</v>
      </c>
      <c r="M195" s="169">
        <v>0</v>
      </c>
      <c r="N195" s="169">
        <v>0</v>
      </c>
      <c r="O195" s="169">
        <v>75945.039999999994</v>
      </c>
      <c r="P195" s="169">
        <v>0</v>
      </c>
      <c r="Q195" s="169">
        <v>0</v>
      </c>
      <c r="R195" s="169">
        <v>0</v>
      </c>
      <c r="S195" s="171">
        <f t="shared" si="74"/>
        <v>3037801.66</v>
      </c>
      <c r="T195" s="374">
        <v>2017</v>
      </c>
      <c r="U195" s="374">
        <v>2017</v>
      </c>
      <c r="V195" s="374">
        <f t="shared" si="72"/>
        <v>56</v>
      </c>
      <c r="W195" s="148" t="s">
        <v>141</v>
      </c>
      <c r="X195" s="149">
        <v>9</v>
      </c>
      <c r="Y195" s="150" t="s">
        <v>152</v>
      </c>
    </row>
    <row r="196" spans="1:25" s="23" customFormat="1" ht="18" customHeight="1" x14ac:dyDescent="0.25">
      <c r="A196" s="374">
        <f t="shared" si="73"/>
        <v>172</v>
      </c>
      <c r="B196" s="34" t="s">
        <v>239</v>
      </c>
      <c r="C196" s="176" t="s">
        <v>97</v>
      </c>
      <c r="D196" s="176"/>
      <c r="E196" s="176"/>
      <c r="F196" s="299">
        <v>3847.9</v>
      </c>
      <c r="G196" s="202">
        <v>2412.1</v>
      </c>
      <c r="H196" s="169">
        <f t="shared" si="71"/>
        <v>1869353.38</v>
      </c>
      <c r="I196" s="169">
        <f>ROUND((191.67+290.35+292.97)*G196,2)-O196</f>
        <v>1757192.18</v>
      </c>
      <c r="J196" s="169">
        <v>0</v>
      </c>
      <c r="K196" s="169">
        <v>0</v>
      </c>
      <c r="L196" s="170">
        <v>0</v>
      </c>
      <c r="M196" s="169">
        <v>0</v>
      </c>
      <c r="N196" s="169">
        <v>0</v>
      </c>
      <c r="O196" s="169">
        <v>112161.2</v>
      </c>
      <c r="P196" s="169">
        <v>0</v>
      </c>
      <c r="Q196" s="169">
        <v>0</v>
      </c>
      <c r="R196" s="169">
        <v>0</v>
      </c>
      <c r="S196" s="171">
        <f t="shared" si="74"/>
        <v>1869353.38</v>
      </c>
      <c r="T196" s="374">
        <v>2017</v>
      </c>
      <c r="U196" s="374">
        <v>2017</v>
      </c>
      <c r="V196" s="374">
        <f t="shared" si="72"/>
        <v>57</v>
      </c>
      <c r="W196" s="148" t="s">
        <v>142</v>
      </c>
      <c r="X196" s="149">
        <v>5</v>
      </c>
      <c r="Y196" s="150" t="s">
        <v>152</v>
      </c>
    </row>
    <row r="197" spans="1:25" s="23" customFormat="1" ht="32.25" customHeight="1" x14ac:dyDescent="0.25">
      <c r="A197" s="374">
        <f t="shared" si="73"/>
        <v>173</v>
      </c>
      <c r="B197" s="65" t="s">
        <v>231</v>
      </c>
      <c r="C197" s="176" t="s">
        <v>24</v>
      </c>
      <c r="D197" s="176"/>
      <c r="E197" s="176"/>
      <c r="F197" s="299">
        <v>3456.9</v>
      </c>
      <c r="G197" s="202">
        <v>3440.6</v>
      </c>
      <c r="H197" s="169">
        <f t="shared" si="71"/>
        <v>1326901.8</v>
      </c>
      <c r="I197" s="169">
        <f>ROUND(385.66*G197,2)-O197</f>
        <v>1247287.69</v>
      </c>
      <c r="J197" s="169">
        <v>0</v>
      </c>
      <c r="K197" s="169">
        <v>0</v>
      </c>
      <c r="L197" s="170">
        <v>0</v>
      </c>
      <c r="M197" s="169">
        <v>0</v>
      </c>
      <c r="N197" s="169">
        <v>0</v>
      </c>
      <c r="O197" s="169">
        <v>79614.11</v>
      </c>
      <c r="P197" s="169">
        <v>0</v>
      </c>
      <c r="Q197" s="169">
        <v>0</v>
      </c>
      <c r="R197" s="169">
        <v>0</v>
      </c>
      <c r="S197" s="171">
        <f t="shared" si="74"/>
        <v>1326901.8</v>
      </c>
      <c r="T197" s="374">
        <v>2017</v>
      </c>
      <c r="U197" s="374">
        <v>2017</v>
      </c>
      <c r="V197" s="374">
        <f t="shared" si="72"/>
        <v>58</v>
      </c>
      <c r="W197" s="148" t="s">
        <v>141</v>
      </c>
      <c r="X197" s="149">
        <v>5</v>
      </c>
      <c r="Y197" s="150" t="s">
        <v>152</v>
      </c>
    </row>
    <row r="198" spans="1:25" s="23" customFormat="1" ht="32.25" customHeight="1" x14ac:dyDescent="0.25">
      <c r="A198" s="374">
        <f t="shared" si="73"/>
        <v>174</v>
      </c>
      <c r="B198" s="65" t="s">
        <v>419</v>
      </c>
      <c r="C198" s="176" t="s">
        <v>91</v>
      </c>
      <c r="D198" s="176"/>
      <c r="E198" s="176"/>
      <c r="F198" s="299">
        <v>3470.7</v>
      </c>
      <c r="G198" s="202">
        <v>3365.6</v>
      </c>
      <c r="H198" s="169">
        <f t="shared" si="71"/>
        <v>1348629.58</v>
      </c>
      <c r="I198" s="169">
        <f>ROUND(400.71*G198,2)-O198</f>
        <v>1267711.81</v>
      </c>
      <c r="J198" s="332">
        <v>0</v>
      </c>
      <c r="K198" s="169">
        <v>0</v>
      </c>
      <c r="L198" s="170">
        <v>0</v>
      </c>
      <c r="M198" s="169">
        <v>0</v>
      </c>
      <c r="N198" s="169">
        <v>0</v>
      </c>
      <c r="O198" s="169">
        <v>80917.77</v>
      </c>
      <c r="P198" s="169">
        <v>0</v>
      </c>
      <c r="Q198" s="169">
        <v>0</v>
      </c>
      <c r="R198" s="169">
        <v>0</v>
      </c>
      <c r="S198" s="171">
        <f t="shared" si="74"/>
        <v>1348629.58</v>
      </c>
      <c r="T198" s="374">
        <v>2017</v>
      </c>
      <c r="U198" s="374">
        <v>2017</v>
      </c>
      <c r="V198" s="374">
        <f t="shared" si="72"/>
        <v>59</v>
      </c>
      <c r="W198" s="148" t="s">
        <v>141</v>
      </c>
      <c r="X198" s="149">
        <v>9</v>
      </c>
      <c r="Y198" s="150" t="s">
        <v>152</v>
      </c>
    </row>
    <row r="199" spans="1:25" s="23" customFormat="1" ht="32.25" customHeight="1" x14ac:dyDescent="0.25">
      <c r="A199" s="374">
        <f t="shared" si="73"/>
        <v>175</v>
      </c>
      <c r="B199" s="65" t="s">
        <v>515</v>
      </c>
      <c r="C199" s="176" t="s">
        <v>95</v>
      </c>
      <c r="D199" s="176"/>
      <c r="E199" s="176"/>
      <c r="F199" s="299">
        <v>4104.1000000000004</v>
      </c>
      <c r="G199" s="202">
        <v>4074.4</v>
      </c>
      <c r="H199" s="169">
        <f t="shared" si="71"/>
        <v>6075603.3200000003</v>
      </c>
      <c r="I199" s="169">
        <v>0</v>
      </c>
      <c r="J199" s="324">
        <f>3037801.66*2-O199</f>
        <v>5923713.2400000002</v>
      </c>
      <c r="K199" s="169">
        <v>0</v>
      </c>
      <c r="L199" s="170">
        <v>0</v>
      </c>
      <c r="M199" s="169">
        <v>0</v>
      </c>
      <c r="N199" s="169">
        <v>0</v>
      </c>
      <c r="O199" s="169">
        <v>151890.07999999999</v>
      </c>
      <c r="P199" s="169">
        <v>0</v>
      </c>
      <c r="Q199" s="169">
        <v>0</v>
      </c>
      <c r="R199" s="169">
        <v>0</v>
      </c>
      <c r="S199" s="171">
        <f t="shared" si="74"/>
        <v>6075603.3200000003</v>
      </c>
      <c r="T199" s="374">
        <v>2017</v>
      </c>
      <c r="U199" s="374">
        <v>2017</v>
      </c>
      <c r="V199" s="374">
        <f t="shared" si="72"/>
        <v>60</v>
      </c>
      <c r="W199" s="148" t="s">
        <v>141</v>
      </c>
      <c r="X199" s="149">
        <v>9</v>
      </c>
      <c r="Y199" s="150" t="s">
        <v>152</v>
      </c>
    </row>
    <row r="200" spans="1:25" s="23" customFormat="1" ht="18" customHeight="1" x14ac:dyDescent="0.25">
      <c r="A200" s="374">
        <f t="shared" si="73"/>
        <v>176</v>
      </c>
      <c r="B200" s="34" t="s">
        <v>172</v>
      </c>
      <c r="C200" s="176" t="s">
        <v>114</v>
      </c>
      <c r="D200" s="176"/>
      <c r="E200" s="176"/>
      <c r="F200" s="299">
        <v>1764.2</v>
      </c>
      <c r="G200" s="202">
        <v>1641.4</v>
      </c>
      <c r="H200" s="169">
        <f t="shared" si="71"/>
        <v>1760319.43</v>
      </c>
      <c r="I200" s="169">
        <v>0</v>
      </c>
      <c r="J200" s="169">
        <v>0</v>
      </c>
      <c r="K200" s="37">
        <f>ROUND(1072.45*G200,2)-O200</f>
        <v>1702740.15</v>
      </c>
      <c r="L200" s="170">
        <v>0</v>
      </c>
      <c r="M200" s="169">
        <v>0</v>
      </c>
      <c r="N200" s="169">
        <v>0</v>
      </c>
      <c r="O200" s="169">
        <v>57579.28</v>
      </c>
      <c r="P200" s="169">
        <v>0</v>
      </c>
      <c r="Q200" s="169">
        <v>0</v>
      </c>
      <c r="R200" s="169">
        <v>0</v>
      </c>
      <c r="S200" s="171">
        <f t="shared" si="74"/>
        <v>1760319.43</v>
      </c>
      <c r="T200" s="374">
        <v>2017</v>
      </c>
      <c r="U200" s="374">
        <v>2017</v>
      </c>
      <c r="V200" s="374">
        <f t="shared" si="72"/>
        <v>61</v>
      </c>
      <c r="W200" s="148" t="s">
        <v>141</v>
      </c>
      <c r="X200" s="149">
        <v>5</v>
      </c>
      <c r="Y200" s="150" t="s">
        <v>152</v>
      </c>
    </row>
    <row r="201" spans="1:25" s="23" customFormat="1" ht="18" customHeight="1" x14ac:dyDescent="0.25">
      <c r="A201" s="374">
        <f t="shared" si="73"/>
        <v>177</v>
      </c>
      <c r="B201" s="34" t="s">
        <v>173</v>
      </c>
      <c r="C201" s="176" t="s">
        <v>71</v>
      </c>
      <c r="D201" s="176"/>
      <c r="E201" s="176"/>
      <c r="F201" s="299">
        <v>1572.9</v>
      </c>
      <c r="G201" s="202">
        <v>1392.7</v>
      </c>
      <c r="H201" s="169">
        <f t="shared" si="71"/>
        <v>1470900.11</v>
      </c>
      <c r="I201" s="169">
        <v>0</v>
      </c>
      <c r="J201" s="169">
        <v>0</v>
      </c>
      <c r="K201" s="69">
        <f>ROUND(1056.15*G201,2)-O201</f>
        <v>1413627.6300000001</v>
      </c>
      <c r="L201" s="170">
        <v>0</v>
      </c>
      <c r="M201" s="169">
        <v>0</v>
      </c>
      <c r="N201" s="169">
        <v>0</v>
      </c>
      <c r="O201" s="169">
        <v>57272.480000000003</v>
      </c>
      <c r="P201" s="169">
        <v>0</v>
      </c>
      <c r="Q201" s="169">
        <v>0</v>
      </c>
      <c r="R201" s="169">
        <v>0</v>
      </c>
      <c r="S201" s="171">
        <f t="shared" si="74"/>
        <v>1470900.11</v>
      </c>
      <c r="T201" s="374">
        <v>2017</v>
      </c>
      <c r="U201" s="374">
        <v>2017</v>
      </c>
      <c r="V201" s="374">
        <f t="shared" si="72"/>
        <v>62</v>
      </c>
      <c r="W201" s="148" t="s">
        <v>142</v>
      </c>
      <c r="X201" s="149">
        <v>5</v>
      </c>
      <c r="Y201" s="150" t="s">
        <v>152</v>
      </c>
    </row>
    <row r="202" spans="1:25" s="23" customFormat="1" ht="18" customHeight="1" x14ac:dyDescent="0.25">
      <c r="A202" s="374">
        <f t="shared" si="73"/>
        <v>178</v>
      </c>
      <c r="B202" s="34" t="s">
        <v>170</v>
      </c>
      <c r="C202" s="176" t="s">
        <v>114</v>
      </c>
      <c r="D202" s="176"/>
      <c r="E202" s="176"/>
      <c r="F202" s="299">
        <v>2714.8</v>
      </c>
      <c r="G202" s="202">
        <v>2500.5</v>
      </c>
      <c r="H202" s="169">
        <f t="shared" si="71"/>
        <v>2681661.23</v>
      </c>
      <c r="I202" s="169">
        <v>0</v>
      </c>
      <c r="J202" s="169">
        <v>0</v>
      </c>
      <c r="K202" s="37">
        <f>ROUND(1072.45*G202,2)-O202</f>
        <v>2607086.41</v>
      </c>
      <c r="L202" s="170">
        <v>0</v>
      </c>
      <c r="M202" s="169">
        <v>0</v>
      </c>
      <c r="N202" s="169">
        <v>0</v>
      </c>
      <c r="O202" s="169">
        <v>74574.820000000007</v>
      </c>
      <c r="P202" s="169">
        <v>0</v>
      </c>
      <c r="Q202" s="169">
        <v>0</v>
      </c>
      <c r="R202" s="169">
        <v>0</v>
      </c>
      <c r="S202" s="171">
        <f t="shared" si="74"/>
        <v>2681661.23</v>
      </c>
      <c r="T202" s="374">
        <v>2017</v>
      </c>
      <c r="U202" s="374">
        <v>2017</v>
      </c>
      <c r="V202" s="374">
        <f t="shared" si="72"/>
        <v>63</v>
      </c>
      <c r="W202" s="148" t="s">
        <v>141</v>
      </c>
      <c r="X202" s="149">
        <v>5</v>
      </c>
      <c r="Y202" s="159" t="s">
        <v>152</v>
      </c>
    </row>
    <row r="203" spans="1:25" s="23" customFormat="1" ht="18" customHeight="1" x14ac:dyDescent="0.25">
      <c r="A203" s="374">
        <f t="shared" si="73"/>
        <v>179</v>
      </c>
      <c r="B203" s="34" t="s">
        <v>169</v>
      </c>
      <c r="C203" s="191" t="s">
        <v>63</v>
      </c>
      <c r="D203" s="191"/>
      <c r="E203" s="191"/>
      <c r="F203" s="299">
        <v>692.2</v>
      </c>
      <c r="G203" s="202">
        <v>643.79999999999995</v>
      </c>
      <c r="H203" s="169">
        <f t="shared" si="71"/>
        <v>2711453.83</v>
      </c>
      <c r="I203" s="169">
        <v>0</v>
      </c>
      <c r="J203" s="169">
        <v>0</v>
      </c>
      <c r="K203" s="170">
        <f>ROUND(4211.64*G203,2)-O203</f>
        <v>2637543.35</v>
      </c>
      <c r="L203" s="169">
        <v>0</v>
      </c>
      <c r="M203" s="169">
        <v>0</v>
      </c>
      <c r="N203" s="169">
        <v>0</v>
      </c>
      <c r="O203" s="169">
        <v>73910.48</v>
      </c>
      <c r="P203" s="169">
        <v>0</v>
      </c>
      <c r="Q203" s="169">
        <v>0</v>
      </c>
      <c r="R203" s="169">
        <v>0</v>
      </c>
      <c r="S203" s="171">
        <f t="shared" si="74"/>
        <v>2711453.83</v>
      </c>
      <c r="T203" s="374">
        <v>2017</v>
      </c>
      <c r="U203" s="374">
        <v>2017</v>
      </c>
      <c r="V203" s="374">
        <f t="shared" si="72"/>
        <v>64</v>
      </c>
      <c r="W203" s="148" t="s">
        <v>142</v>
      </c>
      <c r="X203" s="149">
        <v>2</v>
      </c>
      <c r="Y203" s="150" t="s">
        <v>153</v>
      </c>
    </row>
    <row r="204" spans="1:25" s="23" customFormat="1" ht="18" customHeight="1" x14ac:dyDescent="0.25">
      <c r="A204" s="374">
        <f t="shared" si="73"/>
        <v>180</v>
      </c>
      <c r="B204" s="34" t="s">
        <v>171</v>
      </c>
      <c r="C204" s="176" t="s">
        <v>63</v>
      </c>
      <c r="D204" s="176"/>
      <c r="E204" s="176"/>
      <c r="F204" s="299">
        <v>2559.6</v>
      </c>
      <c r="G204" s="202">
        <v>2551.1999999999998</v>
      </c>
      <c r="H204" s="169">
        <f t="shared" si="71"/>
        <v>2736034.44</v>
      </c>
      <c r="I204" s="169">
        <v>0</v>
      </c>
      <c r="J204" s="169">
        <v>0</v>
      </c>
      <c r="K204" s="37">
        <f>ROUND(1072.45*G204,2)-O204</f>
        <v>2661847.84</v>
      </c>
      <c r="L204" s="170">
        <v>0</v>
      </c>
      <c r="M204" s="169">
        <v>0</v>
      </c>
      <c r="N204" s="169">
        <v>0</v>
      </c>
      <c r="O204" s="169">
        <v>74186.600000000006</v>
      </c>
      <c r="P204" s="169">
        <v>0</v>
      </c>
      <c r="Q204" s="169">
        <v>0</v>
      </c>
      <c r="R204" s="169">
        <v>0</v>
      </c>
      <c r="S204" s="171">
        <f t="shared" si="74"/>
        <v>2736034.44</v>
      </c>
      <c r="T204" s="374">
        <v>2017</v>
      </c>
      <c r="U204" s="374">
        <v>2017</v>
      </c>
      <c r="V204" s="374">
        <f t="shared" si="72"/>
        <v>65</v>
      </c>
      <c r="W204" s="148" t="s">
        <v>141</v>
      </c>
      <c r="X204" s="149">
        <v>5</v>
      </c>
      <c r="Y204" s="159" t="s">
        <v>152</v>
      </c>
    </row>
    <row r="205" spans="1:25" s="23" customFormat="1" ht="18" customHeight="1" x14ac:dyDescent="0.25">
      <c r="A205" s="374">
        <f t="shared" si="73"/>
        <v>181</v>
      </c>
      <c r="B205" s="34" t="s">
        <v>44</v>
      </c>
      <c r="C205" s="176" t="s">
        <v>93</v>
      </c>
      <c r="D205" s="176"/>
      <c r="E205" s="176"/>
      <c r="F205" s="299">
        <v>1589.7</v>
      </c>
      <c r="G205" s="202">
        <v>1589.7</v>
      </c>
      <c r="H205" s="169">
        <f t="shared" si="71"/>
        <v>487624.57999999996</v>
      </c>
      <c r="I205" s="169">
        <v>0</v>
      </c>
      <c r="J205" s="169">
        <v>0</v>
      </c>
      <c r="K205" s="169">
        <v>0</v>
      </c>
      <c r="L205" s="170">
        <v>0</v>
      </c>
      <c r="M205" s="169">
        <f>ROUND(306.74*G205,2)-O205</f>
        <v>458367.11</v>
      </c>
      <c r="N205" s="169">
        <v>0</v>
      </c>
      <c r="O205" s="169">
        <v>29257.47</v>
      </c>
      <c r="P205" s="169">
        <v>0</v>
      </c>
      <c r="Q205" s="169">
        <v>0</v>
      </c>
      <c r="R205" s="169">
        <v>0</v>
      </c>
      <c r="S205" s="171">
        <f t="shared" si="74"/>
        <v>487624.57999999996</v>
      </c>
      <c r="T205" s="374">
        <v>2017</v>
      </c>
      <c r="U205" s="374">
        <v>2017</v>
      </c>
      <c r="V205" s="374">
        <f t="shared" si="72"/>
        <v>66</v>
      </c>
      <c r="W205" s="148" t="s">
        <v>141</v>
      </c>
      <c r="X205" s="149">
        <v>5</v>
      </c>
      <c r="Y205" s="150" t="s">
        <v>153</v>
      </c>
    </row>
    <row r="206" spans="1:25" s="23" customFormat="1" ht="18" customHeight="1" x14ac:dyDescent="0.25">
      <c r="A206" s="374">
        <f t="shared" si="73"/>
        <v>182</v>
      </c>
      <c r="B206" s="34" t="s">
        <v>226</v>
      </c>
      <c r="C206" s="176" t="s">
        <v>71</v>
      </c>
      <c r="D206" s="176"/>
      <c r="E206" s="176"/>
      <c r="F206" s="299">
        <v>5829</v>
      </c>
      <c r="G206" s="202">
        <v>4469.2</v>
      </c>
      <c r="H206" s="169">
        <f t="shared" ref="H206:H269" si="75">I206+J206+K206+L206+M206+N206+O206</f>
        <v>8579746.6999999993</v>
      </c>
      <c r="I206" s="169">
        <f>ROUND((191.67+290.35+292.97)*G206,2)-178470.37</f>
        <v>3285114.94</v>
      </c>
      <c r="J206" s="169">
        <v>0</v>
      </c>
      <c r="K206" s="169">
        <v>0</v>
      </c>
      <c r="L206" s="170">
        <v>0</v>
      </c>
      <c r="M206" s="170">
        <f>ROUND(1144.76*G206,2)-263623.71</f>
        <v>4852537.68</v>
      </c>
      <c r="N206" s="169">
        <v>0</v>
      </c>
      <c r="O206" s="169">
        <v>442094.08000000002</v>
      </c>
      <c r="P206" s="169">
        <v>0</v>
      </c>
      <c r="Q206" s="169">
        <v>0</v>
      </c>
      <c r="R206" s="169">
        <v>0</v>
      </c>
      <c r="S206" s="171">
        <f t="shared" si="74"/>
        <v>8579746.6999999993</v>
      </c>
      <c r="T206" s="374">
        <v>2017</v>
      </c>
      <c r="U206" s="374">
        <v>2017</v>
      </c>
      <c r="V206" s="374">
        <f t="shared" ref="V206:V269" si="76">V205+1</f>
        <v>67</v>
      </c>
      <c r="W206" s="148" t="s">
        <v>142</v>
      </c>
      <c r="X206" s="149">
        <v>5</v>
      </c>
      <c r="Y206" s="150" t="s">
        <v>153</v>
      </c>
    </row>
    <row r="207" spans="1:25" s="23" customFormat="1" ht="18" customHeight="1" x14ac:dyDescent="0.25">
      <c r="A207" s="374">
        <f t="shared" si="73"/>
        <v>183</v>
      </c>
      <c r="B207" s="34" t="s">
        <v>224</v>
      </c>
      <c r="C207" s="176" t="s">
        <v>81</v>
      </c>
      <c r="D207" s="176"/>
      <c r="E207" s="176"/>
      <c r="F207" s="299">
        <v>5253.5</v>
      </c>
      <c r="G207" s="202">
        <v>4538.2</v>
      </c>
      <c r="H207" s="169">
        <f t="shared" si="75"/>
        <v>1732957.05</v>
      </c>
      <c r="I207" s="169">
        <f>ROUND(381.86*G207,2)-O207</f>
        <v>1628979.6300000001</v>
      </c>
      <c r="J207" s="169">
        <v>0</v>
      </c>
      <c r="K207" s="169">
        <v>0</v>
      </c>
      <c r="L207" s="170">
        <v>0</v>
      </c>
      <c r="M207" s="169">
        <v>0</v>
      </c>
      <c r="N207" s="169">
        <v>0</v>
      </c>
      <c r="O207" s="169">
        <v>103977.42</v>
      </c>
      <c r="P207" s="169">
        <v>0</v>
      </c>
      <c r="Q207" s="169">
        <v>0</v>
      </c>
      <c r="R207" s="169">
        <v>0</v>
      </c>
      <c r="S207" s="171">
        <f t="shared" si="74"/>
        <v>1732957.05</v>
      </c>
      <c r="T207" s="374">
        <v>2017</v>
      </c>
      <c r="U207" s="374">
        <v>2017</v>
      </c>
      <c r="V207" s="374">
        <f t="shared" si="76"/>
        <v>68</v>
      </c>
      <c r="W207" s="148" t="s">
        <v>142</v>
      </c>
      <c r="X207" s="149">
        <v>5</v>
      </c>
      <c r="Y207" s="150" t="s">
        <v>152</v>
      </c>
    </row>
    <row r="208" spans="1:25" s="23" customFormat="1" ht="18" customHeight="1" x14ac:dyDescent="0.25">
      <c r="A208" s="374">
        <f t="shared" si="73"/>
        <v>184</v>
      </c>
      <c r="B208" s="34" t="s">
        <v>227</v>
      </c>
      <c r="C208" s="176" t="s">
        <v>55</v>
      </c>
      <c r="D208" s="176"/>
      <c r="E208" s="176"/>
      <c r="F208" s="299">
        <v>3340.2</v>
      </c>
      <c r="G208" s="202">
        <v>3094.1</v>
      </c>
      <c r="H208" s="169">
        <f t="shared" si="75"/>
        <v>3267833.72</v>
      </c>
      <c r="I208" s="169">
        <v>0</v>
      </c>
      <c r="J208" s="169">
        <v>0</v>
      </c>
      <c r="K208" s="69">
        <f>ROUND(1056.15*G208,2)-O208</f>
        <v>3186788.9600000004</v>
      </c>
      <c r="L208" s="170">
        <v>0</v>
      </c>
      <c r="M208" s="169">
        <v>0</v>
      </c>
      <c r="N208" s="169">
        <v>0</v>
      </c>
      <c r="O208" s="169">
        <v>81044.759999999995</v>
      </c>
      <c r="P208" s="169">
        <v>0</v>
      </c>
      <c r="Q208" s="169">
        <v>0</v>
      </c>
      <c r="R208" s="169">
        <v>0</v>
      </c>
      <c r="S208" s="171">
        <f t="shared" si="74"/>
        <v>3267833.72</v>
      </c>
      <c r="T208" s="374">
        <v>2017</v>
      </c>
      <c r="U208" s="374">
        <v>2017</v>
      </c>
      <c r="V208" s="374">
        <f t="shared" si="76"/>
        <v>69</v>
      </c>
      <c r="W208" s="148" t="s">
        <v>142</v>
      </c>
      <c r="X208" s="149">
        <v>6</v>
      </c>
      <c r="Y208" s="150" t="s">
        <v>152</v>
      </c>
    </row>
    <row r="209" spans="1:25" s="23" customFormat="1" ht="18" customHeight="1" x14ac:dyDescent="0.25">
      <c r="A209" s="374">
        <f t="shared" si="73"/>
        <v>185</v>
      </c>
      <c r="B209" s="34" t="s">
        <v>225</v>
      </c>
      <c r="C209" s="176" t="s">
        <v>93</v>
      </c>
      <c r="D209" s="176"/>
      <c r="E209" s="176"/>
      <c r="F209" s="299">
        <v>3957</v>
      </c>
      <c r="G209" s="202">
        <v>3912.6</v>
      </c>
      <c r="H209" s="169">
        <f t="shared" si="75"/>
        <v>1494065.44</v>
      </c>
      <c r="I209" s="169">
        <f>ROUND(381.86*G209,2)-O209</f>
        <v>1412002.3399999999</v>
      </c>
      <c r="J209" s="169">
        <v>0</v>
      </c>
      <c r="K209" s="169">
        <v>0</v>
      </c>
      <c r="L209" s="170">
        <v>0</v>
      </c>
      <c r="M209" s="169">
        <v>0</v>
      </c>
      <c r="N209" s="169">
        <v>0</v>
      </c>
      <c r="O209" s="169">
        <v>82063.100000000006</v>
      </c>
      <c r="P209" s="169">
        <v>0</v>
      </c>
      <c r="Q209" s="169">
        <v>0</v>
      </c>
      <c r="R209" s="169">
        <v>0</v>
      </c>
      <c r="S209" s="171">
        <f t="shared" si="74"/>
        <v>1494065.44</v>
      </c>
      <c r="T209" s="374">
        <v>2017</v>
      </c>
      <c r="U209" s="374">
        <v>2017</v>
      </c>
      <c r="V209" s="374">
        <f t="shared" si="76"/>
        <v>70</v>
      </c>
      <c r="W209" s="148" t="s">
        <v>142</v>
      </c>
      <c r="X209" s="149">
        <v>5</v>
      </c>
      <c r="Y209" s="150" t="s">
        <v>152</v>
      </c>
    </row>
    <row r="210" spans="1:25" s="23" customFormat="1" ht="18" customHeight="1" x14ac:dyDescent="0.25">
      <c r="A210" s="374">
        <f t="shared" si="73"/>
        <v>186</v>
      </c>
      <c r="B210" s="34" t="s">
        <v>228</v>
      </c>
      <c r="C210" s="176" t="s">
        <v>92</v>
      </c>
      <c r="D210" s="176"/>
      <c r="E210" s="176"/>
      <c r="F210" s="299">
        <v>7523.1</v>
      </c>
      <c r="G210" s="202">
        <v>7475.8</v>
      </c>
      <c r="H210" s="169">
        <f t="shared" si="75"/>
        <v>5261019.49</v>
      </c>
      <c r="I210" s="169">
        <v>0</v>
      </c>
      <c r="J210" s="169">
        <v>0</v>
      </c>
      <c r="K210" s="170">
        <f>ROUND(703.74*G210,2)-O210</f>
        <v>5147157.75</v>
      </c>
      <c r="L210" s="170">
        <v>0</v>
      </c>
      <c r="M210" s="169">
        <v>0</v>
      </c>
      <c r="N210" s="169">
        <v>0</v>
      </c>
      <c r="O210" s="169">
        <v>113861.74</v>
      </c>
      <c r="P210" s="169">
        <v>0</v>
      </c>
      <c r="Q210" s="169">
        <v>0</v>
      </c>
      <c r="R210" s="169">
        <v>0</v>
      </c>
      <c r="S210" s="171">
        <f t="shared" si="74"/>
        <v>5261019.49</v>
      </c>
      <c r="T210" s="374">
        <v>2017</v>
      </c>
      <c r="U210" s="374">
        <v>2017</v>
      </c>
      <c r="V210" s="374">
        <f t="shared" si="76"/>
        <v>71</v>
      </c>
      <c r="W210" s="148" t="s">
        <v>141</v>
      </c>
      <c r="X210" s="149">
        <v>9</v>
      </c>
      <c r="Y210" s="150" t="s">
        <v>152</v>
      </c>
    </row>
    <row r="211" spans="1:25" s="23" customFormat="1" ht="18" customHeight="1" x14ac:dyDescent="0.3">
      <c r="A211" s="374">
        <f t="shared" si="73"/>
        <v>187</v>
      </c>
      <c r="B211" s="34" t="s">
        <v>468</v>
      </c>
      <c r="C211" s="215">
        <v>1985</v>
      </c>
      <c r="D211" s="176"/>
      <c r="E211" s="176"/>
      <c r="F211" s="359">
        <v>3043.3</v>
      </c>
      <c r="G211" s="216">
        <v>2537.5</v>
      </c>
      <c r="H211" s="169">
        <f t="shared" si="75"/>
        <v>1194502.75</v>
      </c>
      <c r="I211" s="169">
        <f>ROUND(470.74*G211,2)-O211</f>
        <v>1122832.58</v>
      </c>
      <c r="J211" s="169">
        <v>0</v>
      </c>
      <c r="K211" s="169">
        <v>0</v>
      </c>
      <c r="L211" s="169">
        <v>0</v>
      </c>
      <c r="M211" s="169">
        <v>0</v>
      </c>
      <c r="N211" s="169">
        <v>0</v>
      </c>
      <c r="O211" s="169">
        <v>71670.17</v>
      </c>
      <c r="P211" s="169">
        <v>0</v>
      </c>
      <c r="Q211" s="169">
        <v>0</v>
      </c>
      <c r="R211" s="169">
        <v>0</v>
      </c>
      <c r="S211" s="171">
        <f t="shared" si="74"/>
        <v>1194502.75</v>
      </c>
      <c r="T211" s="374">
        <v>2017</v>
      </c>
      <c r="U211" s="374">
        <v>2017</v>
      </c>
      <c r="V211" s="374">
        <f t="shared" si="76"/>
        <v>72</v>
      </c>
      <c r="W211" s="148" t="s">
        <v>141</v>
      </c>
      <c r="X211" s="149">
        <v>9</v>
      </c>
      <c r="Y211" s="150" t="s">
        <v>152</v>
      </c>
    </row>
    <row r="212" spans="1:25" s="23" customFormat="1" ht="18" customHeight="1" x14ac:dyDescent="0.25">
      <c r="A212" s="374">
        <f t="shared" si="73"/>
        <v>188</v>
      </c>
      <c r="B212" s="34" t="s">
        <v>229</v>
      </c>
      <c r="C212" s="176" t="s">
        <v>92</v>
      </c>
      <c r="D212" s="176"/>
      <c r="E212" s="176"/>
      <c r="F212" s="299">
        <v>4084.5</v>
      </c>
      <c r="G212" s="202">
        <v>3805.9</v>
      </c>
      <c r="H212" s="169">
        <f t="shared" si="75"/>
        <v>1525062.19</v>
      </c>
      <c r="I212" s="169">
        <f>ROUND(400.71*G212,2)-O212</f>
        <v>1433558.46</v>
      </c>
      <c r="J212" s="169">
        <v>0</v>
      </c>
      <c r="K212" s="169">
        <v>0</v>
      </c>
      <c r="L212" s="170">
        <v>0</v>
      </c>
      <c r="M212" s="169">
        <v>0</v>
      </c>
      <c r="N212" s="169">
        <v>0</v>
      </c>
      <c r="O212" s="169">
        <v>91503.73</v>
      </c>
      <c r="P212" s="169">
        <v>0</v>
      </c>
      <c r="Q212" s="169">
        <v>0</v>
      </c>
      <c r="R212" s="169">
        <v>0</v>
      </c>
      <c r="S212" s="171">
        <f t="shared" si="74"/>
        <v>1525062.19</v>
      </c>
      <c r="T212" s="374">
        <v>2017</v>
      </c>
      <c r="U212" s="374">
        <v>2017</v>
      </c>
      <c r="V212" s="374">
        <f t="shared" si="76"/>
        <v>73</v>
      </c>
      <c r="W212" s="148" t="s">
        <v>141</v>
      </c>
      <c r="X212" s="149">
        <v>9</v>
      </c>
      <c r="Y212" s="150" t="s">
        <v>152</v>
      </c>
    </row>
    <row r="213" spans="1:25" s="23" customFormat="1" ht="18" customHeight="1" x14ac:dyDescent="0.25">
      <c r="A213" s="374">
        <f t="shared" si="73"/>
        <v>189</v>
      </c>
      <c r="B213" s="34" t="s">
        <v>233</v>
      </c>
      <c r="C213" s="176" t="s">
        <v>63</v>
      </c>
      <c r="D213" s="176"/>
      <c r="E213" s="176"/>
      <c r="F213" s="299">
        <v>2535</v>
      </c>
      <c r="G213" s="202">
        <v>2372.3000000000002</v>
      </c>
      <c r="H213" s="169">
        <f t="shared" si="75"/>
        <v>688797.31</v>
      </c>
      <c r="I213" s="169">
        <f>ROUND(290.35*G213,2)-O213</f>
        <v>647469.47000000009</v>
      </c>
      <c r="J213" s="169">
        <v>0</v>
      </c>
      <c r="K213" s="169">
        <v>0</v>
      </c>
      <c r="L213" s="170">
        <v>0</v>
      </c>
      <c r="M213" s="169">
        <v>0</v>
      </c>
      <c r="N213" s="169">
        <v>0</v>
      </c>
      <c r="O213" s="169">
        <v>41327.839999999997</v>
      </c>
      <c r="P213" s="169">
        <v>0</v>
      </c>
      <c r="Q213" s="169">
        <v>0</v>
      </c>
      <c r="R213" s="169">
        <v>0</v>
      </c>
      <c r="S213" s="171">
        <f t="shared" si="74"/>
        <v>688797.31</v>
      </c>
      <c r="T213" s="374">
        <v>2017</v>
      </c>
      <c r="U213" s="374">
        <v>2017</v>
      </c>
      <c r="V213" s="374">
        <f t="shared" si="76"/>
        <v>74</v>
      </c>
      <c r="W213" s="148" t="s">
        <v>142</v>
      </c>
      <c r="X213" s="149">
        <v>5</v>
      </c>
      <c r="Y213" s="150" t="s">
        <v>153</v>
      </c>
    </row>
    <row r="214" spans="1:25" s="23" customFormat="1" ht="18" customHeight="1" x14ac:dyDescent="0.25">
      <c r="A214" s="374">
        <f t="shared" si="73"/>
        <v>190</v>
      </c>
      <c r="B214" s="34" t="s">
        <v>158</v>
      </c>
      <c r="C214" s="176" t="s">
        <v>73</v>
      </c>
      <c r="D214" s="176"/>
      <c r="E214" s="176"/>
      <c r="F214" s="299">
        <v>808.7</v>
      </c>
      <c r="G214" s="202">
        <v>769.9</v>
      </c>
      <c r="H214" s="169">
        <f t="shared" si="75"/>
        <v>825679.26</v>
      </c>
      <c r="I214" s="169">
        <v>0</v>
      </c>
      <c r="J214" s="169">
        <v>0</v>
      </c>
      <c r="K214" s="37">
        <f>ROUND(1072.45*G214,2)-O214</f>
        <v>776138.5</v>
      </c>
      <c r="L214" s="169">
        <v>0</v>
      </c>
      <c r="M214" s="169">
        <v>0</v>
      </c>
      <c r="N214" s="169">
        <v>0</v>
      </c>
      <c r="O214" s="169">
        <v>49540.76</v>
      </c>
      <c r="P214" s="169">
        <v>0</v>
      </c>
      <c r="Q214" s="169">
        <v>0</v>
      </c>
      <c r="R214" s="169">
        <v>0</v>
      </c>
      <c r="S214" s="171">
        <f t="shared" si="74"/>
        <v>825679.26</v>
      </c>
      <c r="T214" s="374">
        <v>2017</v>
      </c>
      <c r="U214" s="374">
        <v>2017</v>
      </c>
      <c r="V214" s="374">
        <f t="shared" si="76"/>
        <v>75</v>
      </c>
      <c r="W214" s="148" t="s">
        <v>141</v>
      </c>
      <c r="X214" s="149">
        <v>3</v>
      </c>
      <c r="Y214" s="150" t="s">
        <v>152</v>
      </c>
    </row>
    <row r="215" spans="1:25" s="23" customFormat="1" ht="18" customHeight="1" x14ac:dyDescent="0.25">
      <c r="A215" s="374">
        <f t="shared" si="73"/>
        <v>191</v>
      </c>
      <c r="B215" s="34" t="s">
        <v>437</v>
      </c>
      <c r="C215" s="191" t="s">
        <v>434</v>
      </c>
      <c r="D215" s="191"/>
      <c r="E215" s="191"/>
      <c r="F215" s="299">
        <v>7417.1</v>
      </c>
      <c r="G215" s="202">
        <v>7400.9</v>
      </c>
      <c r="H215" s="169">
        <f t="shared" si="75"/>
        <v>3162034.53</v>
      </c>
      <c r="I215" s="169">
        <v>0</v>
      </c>
      <c r="J215" s="169">
        <v>0</v>
      </c>
      <c r="K215" s="169">
        <v>0</v>
      </c>
      <c r="L215" s="169">
        <v>0</v>
      </c>
      <c r="M215" s="169">
        <f>ROUND(427.25*G215,2)-O215</f>
        <v>2987832.3099999996</v>
      </c>
      <c r="N215" s="169">
        <v>0</v>
      </c>
      <c r="O215" s="169">
        <v>174202.22</v>
      </c>
      <c r="P215" s="169">
        <v>0</v>
      </c>
      <c r="Q215" s="169">
        <v>0</v>
      </c>
      <c r="R215" s="169">
        <v>0</v>
      </c>
      <c r="S215" s="171">
        <f t="shared" si="74"/>
        <v>3162034.53</v>
      </c>
      <c r="T215" s="374">
        <v>2017</v>
      </c>
      <c r="U215" s="374">
        <v>2017</v>
      </c>
      <c r="V215" s="374">
        <f t="shared" si="76"/>
        <v>76</v>
      </c>
      <c r="W215" s="148" t="s">
        <v>141</v>
      </c>
      <c r="X215" s="149">
        <v>9</v>
      </c>
      <c r="Y215" s="150" t="s">
        <v>152</v>
      </c>
    </row>
    <row r="216" spans="1:25" s="23" customFormat="1" ht="18" customHeight="1" x14ac:dyDescent="0.25">
      <c r="A216" s="374">
        <f t="shared" si="73"/>
        <v>192</v>
      </c>
      <c r="B216" s="34" t="s">
        <v>420</v>
      </c>
      <c r="C216" s="176" t="s">
        <v>92</v>
      </c>
      <c r="D216" s="176"/>
      <c r="E216" s="176"/>
      <c r="F216" s="299">
        <v>5302.4</v>
      </c>
      <c r="G216" s="202">
        <v>4769.8</v>
      </c>
      <c r="H216" s="169">
        <f t="shared" si="75"/>
        <v>5906681.8300000001</v>
      </c>
      <c r="I216" s="169">
        <f>ROUND((229.94+304.67)*G216,2)-152998.97</f>
        <v>2396983.8099999996</v>
      </c>
      <c r="J216" s="169">
        <v>0</v>
      </c>
      <c r="K216" s="170">
        <f>ROUND(703.74*G216,2)-201401.94</f>
        <v>3155297.11</v>
      </c>
      <c r="L216" s="170">
        <v>0</v>
      </c>
      <c r="M216" s="169">
        <v>0</v>
      </c>
      <c r="N216" s="169">
        <v>0</v>
      </c>
      <c r="O216" s="169">
        <v>354400.91</v>
      </c>
      <c r="P216" s="169">
        <v>0</v>
      </c>
      <c r="Q216" s="169">
        <v>0</v>
      </c>
      <c r="R216" s="169">
        <v>0</v>
      </c>
      <c r="S216" s="171">
        <f t="shared" si="74"/>
        <v>5906681.8300000001</v>
      </c>
      <c r="T216" s="374">
        <v>2017</v>
      </c>
      <c r="U216" s="374">
        <v>2017</v>
      </c>
      <c r="V216" s="374">
        <f t="shared" si="76"/>
        <v>77</v>
      </c>
      <c r="W216" s="148" t="s">
        <v>141</v>
      </c>
      <c r="X216" s="149">
        <v>9</v>
      </c>
      <c r="Y216" s="150" t="s">
        <v>152</v>
      </c>
    </row>
    <row r="217" spans="1:25" s="23" customFormat="1" ht="18" customHeight="1" x14ac:dyDescent="0.25">
      <c r="A217" s="374">
        <f t="shared" ref="A217:A276" si="77">A216+1</f>
        <v>193</v>
      </c>
      <c r="B217" s="34" t="s">
        <v>212</v>
      </c>
      <c r="C217" s="176" t="s">
        <v>21</v>
      </c>
      <c r="D217" s="176"/>
      <c r="E217" s="176"/>
      <c r="F217" s="299">
        <v>1632.2</v>
      </c>
      <c r="G217" s="202">
        <v>1218.0999999999999</v>
      </c>
      <c r="H217" s="169">
        <f t="shared" si="75"/>
        <v>1822009.62</v>
      </c>
      <c r="I217" s="169">
        <f>ROUND((229.94+304.67+270.85+690.32)*G217,2)-O217</f>
        <v>1749239.02</v>
      </c>
      <c r="J217" s="169">
        <v>0</v>
      </c>
      <c r="K217" s="169">
        <v>0</v>
      </c>
      <c r="L217" s="170">
        <v>0</v>
      </c>
      <c r="M217" s="169">
        <v>0</v>
      </c>
      <c r="N217" s="169">
        <v>0</v>
      </c>
      <c r="O217" s="169">
        <v>72770.600000000006</v>
      </c>
      <c r="P217" s="169">
        <v>0</v>
      </c>
      <c r="Q217" s="169">
        <v>0</v>
      </c>
      <c r="R217" s="169">
        <v>0</v>
      </c>
      <c r="S217" s="171">
        <f t="shared" si="74"/>
        <v>1822009.62</v>
      </c>
      <c r="T217" s="374">
        <v>2017</v>
      </c>
      <c r="U217" s="374">
        <v>2017</v>
      </c>
      <c r="V217" s="374">
        <f t="shared" si="76"/>
        <v>78</v>
      </c>
      <c r="W217" s="148" t="s">
        <v>141</v>
      </c>
      <c r="X217" s="149">
        <v>9</v>
      </c>
      <c r="Y217" s="150" t="s">
        <v>152</v>
      </c>
    </row>
    <row r="218" spans="1:25" s="23" customFormat="1" ht="18" customHeight="1" x14ac:dyDescent="0.25">
      <c r="A218" s="374">
        <f t="shared" si="77"/>
        <v>194</v>
      </c>
      <c r="B218" s="34" t="s">
        <v>246</v>
      </c>
      <c r="C218" s="176" t="s">
        <v>21</v>
      </c>
      <c r="D218" s="176"/>
      <c r="E218" s="176"/>
      <c r="F218" s="299">
        <v>5564.8</v>
      </c>
      <c r="G218" s="202">
        <v>5240.2</v>
      </c>
      <c r="H218" s="169">
        <f t="shared" si="75"/>
        <v>3037801.66</v>
      </c>
      <c r="I218" s="169">
        <v>0</v>
      </c>
      <c r="J218" s="324">
        <f>3037801.66-O218</f>
        <v>2961856.62</v>
      </c>
      <c r="K218" s="169">
        <v>0</v>
      </c>
      <c r="L218" s="170">
        <v>0</v>
      </c>
      <c r="M218" s="169">
        <v>0</v>
      </c>
      <c r="N218" s="169">
        <v>0</v>
      </c>
      <c r="O218" s="169">
        <v>75945.039999999994</v>
      </c>
      <c r="P218" s="169">
        <v>0</v>
      </c>
      <c r="Q218" s="169">
        <v>0</v>
      </c>
      <c r="R218" s="169">
        <v>0</v>
      </c>
      <c r="S218" s="171">
        <f t="shared" si="74"/>
        <v>3037801.66</v>
      </c>
      <c r="T218" s="374">
        <v>2017</v>
      </c>
      <c r="U218" s="374">
        <v>2017</v>
      </c>
      <c r="V218" s="374">
        <f t="shared" si="76"/>
        <v>79</v>
      </c>
      <c r="W218" s="148" t="s">
        <v>141</v>
      </c>
      <c r="X218" s="149">
        <v>9</v>
      </c>
      <c r="Y218" s="150" t="s">
        <v>152</v>
      </c>
    </row>
    <row r="219" spans="1:25" s="23" customFormat="1" ht="18" customHeight="1" x14ac:dyDescent="0.25">
      <c r="A219" s="374">
        <f t="shared" si="77"/>
        <v>195</v>
      </c>
      <c r="B219" s="34" t="s">
        <v>223</v>
      </c>
      <c r="C219" s="176" t="s">
        <v>432</v>
      </c>
      <c r="D219" s="176"/>
      <c r="E219" s="176"/>
      <c r="F219" s="299">
        <v>1050.7</v>
      </c>
      <c r="G219" s="202">
        <v>740.9</v>
      </c>
      <c r="H219" s="169">
        <f t="shared" si="75"/>
        <v>794578.21</v>
      </c>
      <c r="I219" s="169">
        <v>0</v>
      </c>
      <c r="J219" s="169">
        <v>0</v>
      </c>
      <c r="K219" s="37">
        <f>ROUND(1072.45*G219,2)-O219</f>
        <v>746903.52</v>
      </c>
      <c r="L219" s="170">
        <v>0</v>
      </c>
      <c r="M219" s="169">
        <v>0</v>
      </c>
      <c r="N219" s="169">
        <v>0</v>
      </c>
      <c r="O219" s="169">
        <v>47674.69</v>
      </c>
      <c r="P219" s="169">
        <v>0</v>
      </c>
      <c r="Q219" s="169">
        <v>0</v>
      </c>
      <c r="R219" s="169">
        <v>0</v>
      </c>
      <c r="S219" s="171">
        <f t="shared" si="74"/>
        <v>794578.21</v>
      </c>
      <c r="T219" s="374">
        <v>2017</v>
      </c>
      <c r="U219" s="374">
        <v>2017</v>
      </c>
      <c r="V219" s="374">
        <f t="shared" si="76"/>
        <v>80</v>
      </c>
      <c r="W219" s="148" t="s">
        <v>141</v>
      </c>
      <c r="X219" s="149">
        <v>3</v>
      </c>
      <c r="Y219" s="150" t="s">
        <v>152</v>
      </c>
    </row>
    <row r="220" spans="1:25" s="23" customFormat="1" ht="18" customHeight="1" x14ac:dyDescent="0.25">
      <c r="A220" s="374">
        <f t="shared" si="77"/>
        <v>196</v>
      </c>
      <c r="B220" s="34" t="s">
        <v>45</v>
      </c>
      <c r="C220" s="176" t="s">
        <v>435</v>
      </c>
      <c r="D220" s="176"/>
      <c r="E220" s="176"/>
      <c r="F220" s="299">
        <v>769.3</v>
      </c>
      <c r="G220" s="202">
        <v>696.6</v>
      </c>
      <c r="H220" s="169">
        <f t="shared" si="75"/>
        <v>3199832.1</v>
      </c>
      <c r="I220" s="305">
        <f>ROUND(381.86*696.6,2)-13742.83</f>
        <v>252260.85</v>
      </c>
      <c r="J220" s="169">
        <v>0</v>
      </c>
      <c r="K220" s="169">
        <f>ROUND(4211.64*G220,2)-64088.16</f>
        <v>2869740.26</v>
      </c>
      <c r="L220" s="169">
        <v>0</v>
      </c>
      <c r="M220" s="169">
        <v>0</v>
      </c>
      <c r="N220" s="169">
        <v>0</v>
      </c>
      <c r="O220" s="169">
        <f>64088.16+13742.83</f>
        <v>77830.990000000005</v>
      </c>
      <c r="P220" s="169">
        <v>0</v>
      </c>
      <c r="Q220" s="169">
        <v>0</v>
      </c>
      <c r="R220" s="169">
        <v>0</v>
      </c>
      <c r="S220" s="171">
        <f t="shared" si="74"/>
        <v>3199832.1</v>
      </c>
      <c r="T220" s="374">
        <v>2016</v>
      </c>
      <c r="U220" s="374">
        <v>2017</v>
      </c>
      <c r="V220" s="374">
        <f t="shared" si="76"/>
        <v>81</v>
      </c>
      <c r="W220" s="148" t="s">
        <v>150</v>
      </c>
      <c r="X220" s="149">
        <v>2</v>
      </c>
      <c r="Y220" s="150" t="s">
        <v>153</v>
      </c>
    </row>
    <row r="221" spans="1:25" s="23" customFormat="1" ht="18" customHeight="1" x14ac:dyDescent="0.25">
      <c r="A221" s="374">
        <f t="shared" si="77"/>
        <v>197</v>
      </c>
      <c r="B221" s="34" t="s">
        <v>106</v>
      </c>
      <c r="C221" s="191" t="s">
        <v>19</v>
      </c>
      <c r="D221" s="191"/>
      <c r="E221" s="191"/>
      <c r="F221" s="299">
        <v>4889.8</v>
      </c>
      <c r="G221" s="202">
        <v>3613.9</v>
      </c>
      <c r="H221" s="169">
        <f t="shared" si="75"/>
        <v>4137048.16</v>
      </c>
      <c r="I221" s="169">
        <v>0</v>
      </c>
      <c r="J221" s="169">
        <v>0</v>
      </c>
      <c r="K221" s="169">
        <v>0</v>
      </c>
      <c r="L221" s="169">
        <v>0</v>
      </c>
      <c r="M221" s="170">
        <f>ROUND(1144.76*G221,2)-O221</f>
        <v>3962253.58</v>
      </c>
      <c r="N221" s="169">
        <v>0</v>
      </c>
      <c r="O221" s="169">
        <v>174794.58</v>
      </c>
      <c r="P221" s="169">
        <v>0</v>
      </c>
      <c r="Q221" s="169">
        <v>0</v>
      </c>
      <c r="R221" s="169">
        <v>0</v>
      </c>
      <c r="S221" s="171">
        <f t="shared" si="74"/>
        <v>4137048.16</v>
      </c>
      <c r="T221" s="374">
        <v>2017</v>
      </c>
      <c r="U221" s="374">
        <v>2017</v>
      </c>
      <c r="V221" s="374">
        <f t="shared" si="76"/>
        <v>82</v>
      </c>
      <c r="W221" s="148" t="s">
        <v>142</v>
      </c>
      <c r="X221" s="149">
        <v>5</v>
      </c>
      <c r="Y221" s="150" t="s">
        <v>153</v>
      </c>
    </row>
    <row r="222" spans="1:25" s="23" customFormat="1" ht="18" customHeight="1" x14ac:dyDescent="0.25">
      <c r="A222" s="374">
        <f t="shared" si="77"/>
        <v>198</v>
      </c>
      <c r="B222" s="34" t="s">
        <v>46</v>
      </c>
      <c r="C222" s="176" t="s">
        <v>436</v>
      </c>
      <c r="D222" s="176"/>
      <c r="E222" s="176"/>
      <c r="F222" s="299">
        <v>1027.5</v>
      </c>
      <c r="G222" s="202">
        <v>1027.5</v>
      </c>
      <c r="H222" s="169">
        <f t="shared" si="75"/>
        <v>1176240.8999999999</v>
      </c>
      <c r="I222" s="169">
        <v>0</v>
      </c>
      <c r="J222" s="169">
        <v>0</v>
      </c>
      <c r="K222" s="169">
        <v>0</v>
      </c>
      <c r="L222" s="170">
        <v>0</v>
      </c>
      <c r="M222" s="170">
        <f>ROUND(1144.76*G222,2)-O222</f>
        <v>1105666.45</v>
      </c>
      <c r="N222" s="169">
        <v>0</v>
      </c>
      <c r="O222" s="169">
        <v>70574.45</v>
      </c>
      <c r="P222" s="169">
        <v>0</v>
      </c>
      <c r="Q222" s="169">
        <v>0</v>
      </c>
      <c r="R222" s="169">
        <v>0</v>
      </c>
      <c r="S222" s="171">
        <f t="shared" si="74"/>
        <v>1176240.8999999999</v>
      </c>
      <c r="T222" s="374">
        <v>2017</v>
      </c>
      <c r="U222" s="374">
        <v>2017</v>
      </c>
      <c r="V222" s="374">
        <f t="shared" si="76"/>
        <v>83</v>
      </c>
      <c r="W222" s="148" t="s">
        <v>142</v>
      </c>
      <c r="X222" s="149">
        <v>3</v>
      </c>
      <c r="Y222" s="150" t="s">
        <v>153</v>
      </c>
    </row>
    <row r="223" spans="1:25" s="23" customFormat="1" ht="18" customHeight="1" x14ac:dyDescent="0.25">
      <c r="A223" s="374">
        <f t="shared" si="77"/>
        <v>199</v>
      </c>
      <c r="B223" s="34" t="s">
        <v>166</v>
      </c>
      <c r="C223" s="191" t="s">
        <v>73</v>
      </c>
      <c r="D223" s="191"/>
      <c r="E223" s="191"/>
      <c r="F223" s="299">
        <v>1074.5999999999999</v>
      </c>
      <c r="G223" s="202">
        <v>761.2</v>
      </c>
      <c r="H223" s="169">
        <f t="shared" si="75"/>
        <v>4231061.6899999995</v>
      </c>
      <c r="I223" s="169">
        <v>0</v>
      </c>
      <c r="J223" s="169">
        <v>0</v>
      </c>
      <c r="K223" s="170">
        <f>ROUND(4211.64*G223,2)-49563.14</f>
        <v>3156337.23</v>
      </c>
      <c r="L223" s="169">
        <v>0</v>
      </c>
      <c r="M223" s="170">
        <f>ROUND(1346.77*G223,2)-15848.98</f>
        <v>1009312.34</v>
      </c>
      <c r="N223" s="169">
        <v>0</v>
      </c>
      <c r="O223" s="169">
        <v>65412.12</v>
      </c>
      <c r="P223" s="169">
        <v>0</v>
      </c>
      <c r="Q223" s="169">
        <v>0</v>
      </c>
      <c r="R223" s="169">
        <v>0</v>
      </c>
      <c r="S223" s="171">
        <f t="shared" si="74"/>
        <v>4231061.6899999995</v>
      </c>
      <c r="T223" s="374">
        <v>2017</v>
      </c>
      <c r="U223" s="374">
        <v>2017</v>
      </c>
      <c r="V223" s="374">
        <f t="shared" si="76"/>
        <v>84</v>
      </c>
      <c r="W223" s="148" t="s">
        <v>142</v>
      </c>
      <c r="X223" s="149">
        <v>2</v>
      </c>
      <c r="Y223" s="150" t="s">
        <v>153</v>
      </c>
    </row>
    <row r="224" spans="1:25" s="23" customFormat="1" ht="18" customHeight="1" x14ac:dyDescent="0.25">
      <c r="A224" s="374">
        <f t="shared" si="77"/>
        <v>200</v>
      </c>
      <c r="B224" s="34" t="s">
        <v>237</v>
      </c>
      <c r="C224" s="176" t="s">
        <v>73</v>
      </c>
      <c r="D224" s="176"/>
      <c r="E224" s="176"/>
      <c r="F224" s="299">
        <v>712.9</v>
      </c>
      <c r="G224" s="202">
        <v>640.5</v>
      </c>
      <c r="H224" s="169">
        <f t="shared" si="75"/>
        <v>3560161.61</v>
      </c>
      <c r="I224" s="169">
        <v>0</v>
      </c>
      <c r="J224" s="169">
        <v>0</v>
      </c>
      <c r="K224" s="170">
        <f>ROUND(4211.64*G224,2)-48928.34</f>
        <v>2648627.08</v>
      </c>
      <c r="L224" s="170">
        <v>0</v>
      </c>
      <c r="M224" s="170">
        <f>ROUND(1346.77*G224,2)-15645.98</f>
        <v>846960.21</v>
      </c>
      <c r="N224" s="169">
        <v>0</v>
      </c>
      <c r="O224" s="169">
        <v>64574.32</v>
      </c>
      <c r="P224" s="169">
        <v>0</v>
      </c>
      <c r="Q224" s="169">
        <v>0</v>
      </c>
      <c r="R224" s="169">
        <v>0</v>
      </c>
      <c r="S224" s="171">
        <f t="shared" si="74"/>
        <v>3560161.61</v>
      </c>
      <c r="T224" s="374">
        <v>2017</v>
      </c>
      <c r="U224" s="374">
        <v>2017</v>
      </c>
      <c r="V224" s="374">
        <f t="shared" si="76"/>
        <v>85</v>
      </c>
      <c r="W224" s="148" t="s">
        <v>142</v>
      </c>
      <c r="X224" s="149">
        <v>2</v>
      </c>
      <c r="Y224" s="150" t="s">
        <v>153</v>
      </c>
    </row>
    <row r="225" spans="1:25" s="23" customFormat="1" ht="18" customHeight="1" x14ac:dyDescent="0.3">
      <c r="A225" s="374">
        <f t="shared" si="77"/>
        <v>201</v>
      </c>
      <c r="B225" s="34" t="s">
        <v>449</v>
      </c>
      <c r="C225" s="215">
        <v>1959</v>
      </c>
      <c r="D225" s="176"/>
      <c r="E225" s="176"/>
      <c r="F225" s="359">
        <v>371.4</v>
      </c>
      <c r="G225" s="216">
        <v>305.02999999999997</v>
      </c>
      <c r="H225" s="169">
        <f t="shared" si="75"/>
        <v>117637.87</v>
      </c>
      <c r="I225" s="169">
        <f>ROUND(385.66*G225,2)-O225</f>
        <v>110579.59999999999</v>
      </c>
      <c r="J225" s="169">
        <v>0</v>
      </c>
      <c r="K225" s="169">
        <v>0</v>
      </c>
      <c r="L225" s="169">
        <v>0</v>
      </c>
      <c r="M225" s="169">
        <v>0</v>
      </c>
      <c r="N225" s="169">
        <v>0</v>
      </c>
      <c r="O225" s="169">
        <v>7058.27</v>
      </c>
      <c r="P225" s="169">
        <v>0</v>
      </c>
      <c r="Q225" s="169">
        <v>0</v>
      </c>
      <c r="R225" s="169">
        <v>0</v>
      </c>
      <c r="S225" s="171">
        <f t="shared" si="74"/>
        <v>117637.87</v>
      </c>
      <c r="T225" s="374">
        <v>2017</v>
      </c>
      <c r="U225" s="374">
        <v>2017</v>
      </c>
      <c r="V225" s="374">
        <f t="shared" si="76"/>
        <v>86</v>
      </c>
      <c r="W225" s="148" t="s">
        <v>142</v>
      </c>
      <c r="X225" s="149">
        <v>2</v>
      </c>
      <c r="Y225" s="150" t="s">
        <v>153</v>
      </c>
    </row>
    <row r="226" spans="1:25" s="23" customFormat="1" ht="18" customHeight="1" x14ac:dyDescent="0.25">
      <c r="A226" s="374">
        <f t="shared" si="77"/>
        <v>202</v>
      </c>
      <c r="B226" s="34" t="s">
        <v>211</v>
      </c>
      <c r="C226" s="176" t="s">
        <v>114</v>
      </c>
      <c r="D226" s="176"/>
      <c r="E226" s="176"/>
      <c r="F226" s="299">
        <v>620.4</v>
      </c>
      <c r="G226" s="202">
        <v>568.70000000000005</v>
      </c>
      <c r="H226" s="169">
        <f t="shared" si="75"/>
        <v>879261.38</v>
      </c>
      <c r="I226" s="169">
        <f>ROUND((197.29+298.86+301.56+748.38)*G226,2)-O226</f>
        <v>838462.88</v>
      </c>
      <c r="J226" s="169">
        <v>0</v>
      </c>
      <c r="K226" s="169">
        <v>0</v>
      </c>
      <c r="L226" s="170">
        <v>0</v>
      </c>
      <c r="M226" s="169">
        <v>0</v>
      </c>
      <c r="N226" s="169"/>
      <c r="O226" s="169">
        <v>40798.5</v>
      </c>
      <c r="P226" s="169">
        <v>0</v>
      </c>
      <c r="Q226" s="169">
        <v>0</v>
      </c>
      <c r="R226" s="169">
        <v>0</v>
      </c>
      <c r="S226" s="171">
        <f t="shared" si="74"/>
        <v>879261.38</v>
      </c>
      <c r="T226" s="374">
        <v>2017</v>
      </c>
      <c r="U226" s="374">
        <v>2017</v>
      </c>
      <c r="V226" s="374">
        <f t="shared" si="76"/>
        <v>87</v>
      </c>
      <c r="W226" s="148" t="s">
        <v>142</v>
      </c>
      <c r="X226" s="149">
        <v>2</v>
      </c>
      <c r="Y226" s="150" t="s">
        <v>153</v>
      </c>
    </row>
    <row r="227" spans="1:25" s="23" customFormat="1" ht="18" customHeight="1" x14ac:dyDescent="0.25">
      <c r="A227" s="374">
        <f t="shared" si="77"/>
        <v>203</v>
      </c>
      <c r="B227" s="34" t="s">
        <v>182</v>
      </c>
      <c r="C227" s="176" t="s">
        <v>62</v>
      </c>
      <c r="D227" s="176"/>
      <c r="E227" s="176"/>
      <c r="F227" s="299">
        <v>2996.2</v>
      </c>
      <c r="G227" s="202">
        <v>2967.2</v>
      </c>
      <c r="H227" s="169">
        <f t="shared" si="75"/>
        <v>5433358.6099999994</v>
      </c>
      <c r="I227" s="169">
        <f>ROUND((191.67+290.35+292.97)*G227,2)-95032.08</f>
        <v>2204518.25</v>
      </c>
      <c r="J227" s="169">
        <v>0</v>
      </c>
      <c r="K227" s="69">
        <f>ROUND(1056.15*G227,2)-129508.94</f>
        <v>3004299.34</v>
      </c>
      <c r="L227" s="170">
        <v>0</v>
      </c>
      <c r="M227" s="169">
        <v>0</v>
      </c>
      <c r="N227" s="169">
        <v>0</v>
      </c>
      <c r="O227" s="169">
        <v>224541.02</v>
      </c>
      <c r="P227" s="169">
        <v>0</v>
      </c>
      <c r="Q227" s="169">
        <v>0</v>
      </c>
      <c r="R227" s="169">
        <v>0</v>
      </c>
      <c r="S227" s="171">
        <f t="shared" ref="S227:S276" si="78">H227</f>
        <v>5433358.6099999994</v>
      </c>
      <c r="T227" s="374">
        <v>2017</v>
      </c>
      <c r="U227" s="374">
        <v>2017</v>
      </c>
      <c r="V227" s="374">
        <f t="shared" si="76"/>
        <v>88</v>
      </c>
      <c r="W227" s="148" t="s">
        <v>142</v>
      </c>
      <c r="X227" s="149">
        <v>5</v>
      </c>
      <c r="Y227" s="150" t="s">
        <v>152</v>
      </c>
    </row>
    <row r="228" spans="1:25" s="23" customFormat="1" ht="18" customHeight="1" x14ac:dyDescent="0.25">
      <c r="A228" s="374">
        <f t="shared" si="77"/>
        <v>204</v>
      </c>
      <c r="B228" s="329" t="s">
        <v>180</v>
      </c>
      <c r="C228" s="176" t="s">
        <v>62</v>
      </c>
      <c r="D228" s="176"/>
      <c r="E228" s="176"/>
      <c r="F228" s="299">
        <v>2998.7</v>
      </c>
      <c r="G228" s="333">
        <v>2982.5</v>
      </c>
      <c r="H228" s="169">
        <f t="shared" si="75"/>
        <v>1437624.65</v>
      </c>
      <c r="I228" s="169">
        <f>ROUND((191.67+290.35)*G228,2)-O228</f>
        <v>1368861.3299999998</v>
      </c>
      <c r="J228" s="169">
        <v>0</v>
      </c>
      <c r="K228" s="169">
        <v>0</v>
      </c>
      <c r="L228" s="169">
        <v>0</v>
      </c>
      <c r="M228" s="169">
        <v>0</v>
      </c>
      <c r="N228" s="169">
        <v>0</v>
      </c>
      <c r="O228" s="169">
        <v>68763.320000000007</v>
      </c>
      <c r="P228" s="169">
        <v>0</v>
      </c>
      <c r="Q228" s="169">
        <v>0</v>
      </c>
      <c r="R228" s="169">
        <v>0</v>
      </c>
      <c r="S228" s="171">
        <f t="shared" si="78"/>
        <v>1437624.65</v>
      </c>
      <c r="T228" s="374">
        <v>2017</v>
      </c>
      <c r="U228" s="374">
        <v>2017</v>
      </c>
      <c r="V228" s="374">
        <f t="shared" si="76"/>
        <v>89</v>
      </c>
      <c r="W228" s="160" t="s">
        <v>142</v>
      </c>
      <c r="X228" s="161">
        <v>5</v>
      </c>
      <c r="Y228" s="162" t="s">
        <v>153</v>
      </c>
    </row>
    <row r="229" spans="1:25" s="23" customFormat="1" ht="18" customHeight="1" x14ac:dyDescent="0.25">
      <c r="A229" s="374">
        <f t="shared" si="77"/>
        <v>205</v>
      </c>
      <c r="B229" s="329" t="s">
        <v>181</v>
      </c>
      <c r="C229" s="176" t="s">
        <v>62</v>
      </c>
      <c r="D229" s="176"/>
      <c r="E229" s="176"/>
      <c r="F229" s="299">
        <v>3033.6</v>
      </c>
      <c r="G229" s="202">
        <v>2791.6</v>
      </c>
      <c r="H229" s="169">
        <f t="shared" si="75"/>
        <v>1345607.03</v>
      </c>
      <c r="I229" s="169">
        <f>ROUND((191.67+290.35)*G229,2)-O229</f>
        <v>1264870.6100000001</v>
      </c>
      <c r="J229" s="169">
        <v>0</v>
      </c>
      <c r="K229" s="169">
        <v>0</v>
      </c>
      <c r="L229" s="169">
        <v>0</v>
      </c>
      <c r="M229" s="169">
        <v>0</v>
      </c>
      <c r="N229" s="169">
        <v>0</v>
      </c>
      <c r="O229" s="169">
        <v>80736.42</v>
      </c>
      <c r="P229" s="169">
        <v>0</v>
      </c>
      <c r="Q229" s="169">
        <v>0</v>
      </c>
      <c r="R229" s="169">
        <v>0</v>
      </c>
      <c r="S229" s="171">
        <f t="shared" si="78"/>
        <v>1345607.03</v>
      </c>
      <c r="T229" s="374">
        <v>2017</v>
      </c>
      <c r="U229" s="374">
        <v>2017</v>
      </c>
      <c r="V229" s="374">
        <f t="shared" si="76"/>
        <v>90</v>
      </c>
      <c r="W229" s="148" t="s">
        <v>142</v>
      </c>
      <c r="X229" s="149">
        <v>5</v>
      </c>
      <c r="Y229" s="150" t="s">
        <v>152</v>
      </c>
    </row>
    <row r="230" spans="1:25" s="23" customFormat="1" ht="18" customHeight="1" x14ac:dyDescent="0.25">
      <c r="A230" s="374">
        <f t="shared" si="77"/>
        <v>206</v>
      </c>
      <c r="B230" s="329" t="s">
        <v>179</v>
      </c>
      <c r="C230" s="176" t="s">
        <v>62</v>
      </c>
      <c r="D230" s="176"/>
      <c r="E230" s="176"/>
      <c r="F230" s="299">
        <v>3167.3</v>
      </c>
      <c r="G230" s="202">
        <v>2986.8</v>
      </c>
      <c r="H230" s="169">
        <f t="shared" si="75"/>
        <v>2314740.13</v>
      </c>
      <c r="I230" s="169">
        <f>ROUND((191.67+290.35+292.97)*G230,2)-O230</f>
        <v>2211499.5699999998</v>
      </c>
      <c r="J230" s="169">
        <v>0</v>
      </c>
      <c r="K230" s="169">
        <v>0</v>
      </c>
      <c r="L230" s="169">
        <v>0</v>
      </c>
      <c r="M230" s="169">
        <v>0</v>
      </c>
      <c r="N230" s="169">
        <v>0</v>
      </c>
      <c r="O230" s="169">
        <v>103240.56</v>
      </c>
      <c r="P230" s="169">
        <v>0</v>
      </c>
      <c r="Q230" s="169">
        <v>0</v>
      </c>
      <c r="R230" s="169">
        <v>0</v>
      </c>
      <c r="S230" s="171">
        <f t="shared" si="78"/>
        <v>2314740.13</v>
      </c>
      <c r="T230" s="374">
        <v>2017</v>
      </c>
      <c r="U230" s="374">
        <v>2017</v>
      </c>
      <c r="V230" s="374">
        <f t="shared" si="76"/>
        <v>91</v>
      </c>
      <c r="W230" s="148" t="s">
        <v>142</v>
      </c>
      <c r="X230" s="149">
        <v>5</v>
      </c>
      <c r="Y230" s="150" t="s">
        <v>152</v>
      </c>
    </row>
    <row r="231" spans="1:25" s="23" customFormat="1" ht="18" customHeight="1" x14ac:dyDescent="0.25">
      <c r="A231" s="374">
        <f t="shared" si="77"/>
        <v>207</v>
      </c>
      <c r="B231" s="329" t="s">
        <v>183</v>
      </c>
      <c r="C231" s="176" t="s">
        <v>62</v>
      </c>
      <c r="D231" s="176"/>
      <c r="E231" s="176"/>
      <c r="F231" s="299">
        <v>2962.9</v>
      </c>
      <c r="G231" s="202">
        <v>2954.6</v>
      </c>
      <c r="H231" s="169">
        <f t="shared" si="75"/>
        <v>5410286.2400000012</v>
      </c>
      <c r="I231" s="169">
        <f>ROUND((191.67+290.35+292.97)*G231,2)-94517.19</f>
        <v>2195268.2600000002</v>
      </c>
      <c r="J231" s="169">
        <v>0</v>
      </c>
      <c r="K231" s="69">
        <f>ROUND(1056.15*G231,2)-128807.25</f>
        <v>2991693.54</v>
      </c>
      <c r="L231" s="170">
        <v>0</v>
      </c>
      <c r="M231" s="169">
        <v>0</v>
      </c>
      <c r="N231" s="169">
        <v>0</v>
      </c>
      <c r="O231" s="169">
        <v>223324.44</v>
      </c>
      <c r="P231" s="169">
        <v>0</v>
      </c>
      <c r="Q231" s="169">
        <v>0</v>
      </c>
      <c r="R231" s="169">
        <v>0</v>
      </c>
      <c r="S231" s="171">
        <f t="shared" si="78"/>
        <v>5410286.2400000012</v>
      </c>
      <c r="T231" s="374">
        <v>2017</v>
      </c>
      <c r="U231" s="374">
        <v>2017</v>
      </c>
      <c r="V231" s="374">
        <f t="shared" si="76"/>
        <v>92</v>
      </c>
      <c r="W231" s="148" t="s">
        <v>142</v>
      </c>
      <c r="X231" s="149">
        <v>5</v>
      </c>
      <c r="Y231" s="150" t="s">
        <v>152</v>
      </c>
    </row>
    <row r="232" spans="1:25" s="23" customFormat="1" ht="18" customHeight="1" x14ac:dyDescent="0.25">
      <c r="A232" s="374">
        <f t="shared" si="77"/>
        <v>208</v>
      </c>
      <c r="B232" s="329" t="s">
        <v>240</v>
      </c>
      <c r="C232" s="176" t="s">
        <v>89</v>
      </c>
      <c r="D232" s="176"/>
      <c r="E232" s="176" t="s">
        <v>464</v>
      </c>
      <c r="F232" s="299">
        <v>3732.1</v>
      </c>
      <c r="G232" s="202">
        <v>3279.8</v>
      </c>
      <c r="H232" s="169">
        <f t="shared" si="75"/>
        <v>2541812.2000000002</v>
      </c>
      <c r="I232" s="169">
        <f>ROUND((191.67+290.35+292.97)*G232,2)-O232</f>
        <v>2389303.4700000002</v>
      </c>
      <c r="J232" s="169">
        <v>0</v>
      </c>
      <c r="K232" s="169">
        <v>0</v>
      </c>
      <c r="L232" s="170">
        <v>0</v>
      </c>
      <c r="M232" s="169">
        <v>0</v>
      </c>
      <c r="N232" s="169">
        <v>0</v>
      </c>
      <c r="O232" s="169">
        <v>152508.73000000001</v>
      </c>
      <c r="P232" s="169">
        <v>0</v>
      </c>
      <c r="Q232" s="169">
        <v>0</v>
      </c>
      <c r="R232" s="169">
        <v>0</v>
      </c>
      <c r="S232" s="171">
        <f t="shared" si="78"/>
        <v>2541812.2000000002</v>
      </c>
      <c r="T232" s="374">
        <v>2017</v>
      </c>
      <c r="U232" s="374">
        <v>2017</v>
      </c>
      <c r="V232" s="374">
        <f t="shared" si="76"/>
        <v>93</v>
      </c>
      <c r="W232" s="148" t="s">
        <v>142</v>
      </c>
      <c r="X232" s="149">
        <v>5</v>
      </c>
      <c r="Y232" s="150" t="s">
        <v>152</v>
      </c>
    </row>
    <row r="233" spans="1:25" s="23" customFormat="1" ht="18" customHeight="1" x14ac:dyDescent="0.25">
      <c r="A233" s="374">
        <f t="shared" si="77"/>
        <v>209</v>
      </c>
      <c r="B233" s="329" t="s">
        <v>205</v>
      </c>
      <c r="C233" s="176" t="s">
        <v>94</v>
      </c>
      <c r="D233" s="176"/>
      <c r="E233" s="176"/>
      <c r="F233" s="299">
        <v>1852.6</v>
      </c>
      <c r="G233" s="202">
        <v>1563.4</v>
      </c>
      <c r="H233" s="169">
        <f t="shared" si="75"/>
        <v>1651184.91</v>
      </c>
      <c r="I233" s="169">
        <v>0</v>
      </c>
      <c r="J233" s="169">
        <v>0</v>
      </c>
      <c r="K233" s="69">
        <f>ROUND(1056.15*G233,2)-O233</f>
        <v>1594563.7899999998</v>
      </c>
      <c r="L233" s="170">
        <v>0</v>
      </c>
      <c r="M233" s="169">
        <v>0</v>
      </c>
      <c r="N233" s="169">
        <v>0</v>
      </c>
      <c r="O233" s="169">
        <v>56621.120000000003</v>
      </c>
      <c r="P233" s="169">
        <v>0</v>
      </c>
      <c r="Q233" s="169">
        <v>0</v>
      </c>
      <c r="R233" s="169">
        <v>0</v>
      </c>
      <c r="S233" s="171">
        <f t="shared" si="78"/>
        <v>1651184.91</v>
      </c>
      <c r="T233" s="374">
        <v>2017</v>
      </c>
      <c r="U233" s="374">
        <v>2017</v>
      </c>
      <c r="V233" s="374">
        <f t="shared" si="76"/>
        <v>94</v>
      </c>
      <c r="W233" s="148" t="s">
        <v>142</v>
      </c>
      <c r="X233" s="149">
        <v>5</v>
      </c>
      <c r="Y233" s="150" t="s">
        <v>152</v>
      </c>
    </row>
    <row r="234" spans="1:25" s="23" customFormat="1" ht="18" customHeight="1" x14ac:dyDescent="0.25">
      <c r="A234" s="374">
        <f t="shared" si="77"/>
        <v>210</v>
      </c>
      <c r="B234" s="329" t="s">
        <v>202</v>
      </c>
      <c r="C234" s="176" t="s">
        <v>94</v>
      </c>
      <c r="D234" s="176"/>
      <c r="E234" s="176"/>
      <c r="F234" s="299">
        <v>4322.3999999999996</v>
      </c>
      <c r="G234" s="202">
        <v>4263</v>
      </c>
      <c r="H234" s="169">
        <f t="shared" si="75"/>
        <v>4502367.45</v>
      </c>
      <c r="I234" s="169">
        <v>0</v>
      </c>
      <c r="J234" s="169">
        <v>0</v>
      </c>
      <c r="K234" s="69">
        <f>ROUND(1056.15*G234,2)-O234</f>
        <v>4409830.67</v>
      </c>
      <c r="L234" s="170">
        <v>0</v>
      </c>
      <c r="M234" s="169">
        <v>0</v>
      </c>
      <c r="N234" s="169">
        <v>0</v>
      </c>
      <c r="O234" s="169">
        <v>92536.78</v>
      </c>
      <c r="P234" s="169">
        <v>0</v>
      </c>
      <c r="Q234" s="169">
        <v>0</v>
      </c>
      <c r="R234" s="169">
        <v>0</v>
      </c>
      <c r="S234" s="171">
        <f t="shared" si="78"/>
        <v>4502367.45</v>
      </c>
      <c r="T234" s="374">
        <v>2017</v>
      </c>
      <c r="U234" s="374">
        <v>2017</v>
      </c>
      <c r="V234" s="374">
        <f t="shared" si="76"/>
        <v>95</v>
      </c>
      <c r="W234" s="148" t="s">
        <v>142</v>
      </c>
      <c r="X234" s="149">
        <v>5</v>
      </c>
      <c r="Y234" s="150" t="s">
        <v>152</v>
      </c>
    </row>
    <row r="235" spans="1:25" s="23" customFormat="1" ht="18" customHeight="1" x14ac:dyDescent="0.25">
      <c r="A235" s="374">
        <f t="shared" si="77"/>
        <v>211</v>
      </c>
      <c r="B235" s="329" t="s">
        <v>203</v>
      </c>
      <c r="C235" s="176" t="s">
        <v>94</v>
      </c>
      <c r="D235" s="176"/>
      <c r="E235" s="176"/>
      <c r="F235" s="299">
        <v>3048.4</v>
      </c>
      <c r="G235" s="202">
        <v>3017</v>
      </c>
      <c r="H235" s="169">
        <f t="shared" si="75"/>
        <v>3235581.65</v>
      </c>
      <c r="I235" s="169">
        <v>0</v>
      </c>
      <c r="J235" s="169">
        <v>0</v>
      </c>
      <c r="K235" s="37">
        <f>ROUND(1072.45*G235,2)-O235</f>
        <v>3162190.37</v>
      </c>
      <c r="L235" s="170">
        <v>0</v>
      </c>
      <c r="M235" s="169">
        <v>0</v>
      </c>
      <c r="N235" s="169">
        <v>0</v>
      </c>
      <c r="O235" s="169">
        <v>73391.28</v>
      </c>
      <c r="P235" s="169">
        <v>0</v>
      </c>
      <c r="Q235" s="169">
        <v>0</v>
      </c>
      <c r="R235" s="169">
        <v>0</v>
      </c>
      <c r="S235" s="171">
        <f t="shared" si="78"/>
        <v>3235581.65</v>
      </c>
      <c r="T235" s="374">
        <v>2017</v>
      </c>
      <c r="U235" s="374">
        <v>2017</v>
      </c>
      <c r="V235" s="374">
        <f t="shared" si="76"/>
        <v>96</v>
      </c>
      <c r="W235" s="148" t="s">
        <v>141</v>
      </c>
      <c r="X235" s="149">
        <v>5</v>
      </c>
      <c r="Y235" s="150" t="s">
        <v>152</v>
      </c>
    </row>
    <row r="236" spans="1:25" s="23" customFormat="1" ht="18" customHeight="1" x14ac:dyDescent="0.25">
      <c r="A236" s="374">
        <f t="shared" si="77"/>
        <v>212</v>
      </c>
      <c r="B236" s="34" t="s">
        <v>204</v>
      </c>
      <c r="C236" s="377" t="s">
        <v>94</v>
      </c>
      <c r="D236" s="176"/>
      <c r="E236" s="176"/>
      <c r="F236" s="299">
        <v>4452.1000000000004</v>
      </c>
      <c r="G236" s="202">
        <v>4374.8999999999996</v>
      </c>
      <c r="H236" s="169">
        <f t="shared" si="75"/>
        <v>4691861.51</v>
      </c>
      <c r="I236" s="169">
        <v>0</v>
      </c>
      <c r="J236" s="169">
        <v>0</v>
      </c>
      <c r="K236" s="37">
        <f>ROUND(1072.45*G236,2)-O236</f>
        <v>4580255.93</v>
      </c>
      <c r="L236" s="170">
        <v>0</v>
      </c>
      <c r="M236" s="169">
        <v>0</v>
      </c>
      <c r="N236" s="169">
        <v>0</v>
      </c>
      <c r="O236" s="169">
        <v>111605.58</v>
      </c>
      <c r="P236" s="169">
        <v>0</v>
      </c>
      <c r="Q236" s="169">
        <v>0</v>
      </c>
      <c r="R236" s="169">
        <v>0</v>
      </c>
      <c r="S236" s="171">
        <f t="shared" si="78"/>
        <v>4691861.51</v>
      </c>
      <c r="T236" s="374">
        <v>2017</v>
      </c>
      <c r="U236" s="374">
        <v>2017</v>
      </c>
      <c r="V236" s="374">
        <f t="shared" si="76"/>
        <v>97</v>
      </c>
      <c r="W236" s="148" t="s">
        <v>141</v>
      </c>
      <c r="X236" s="149">
        <v>5</v>
      </c>
      <c r="Y236" s="149" t="s">
        <v>152</v>
      </c>
    </row>
    <row r="237" spans="1:25" s="23" customFormat="1" ht="18" customHeight="1" x14ac:dyDescent="0.25">
      <c r="A237" s="374">
        <f t="shared" si="77"/>
        <v>213</v>
      </c>
      <c r="B237" s="329" t="s">
        <v>35</v>
      </c>
      <c r="C237" s="176" t="s">
        <v>428</v>
      </c>
      <c r="D237" s="176"/>
      <c r="E237" s="176"/>
      <c r="F237" s="299">
        <v>5687.9</v>
      </c>
      <c r="G237" s="202">
        <v>5670.9</v>
      </c>
      <c r="H237" s="169">
        <f t="shared" si="75"/>
        <v>2187039.29</v>
      </c>
      <c r="I237" s="169">
        <f>ROUND(385.66*G237,2)-O237</f>
        <v>2055816.9300000002</v>
      </c>
      <c r="J237" s="169">
        <v>0</v>
      </c>
      <c r="K237" s="169">
        <v>0</v>
      </c>
      <c r="L237" s="170">
        <v>0</v>
      </c>
      <c r="M237" s="169">
        <v>0</v>
      </c>
      <c r="N237" s="169">
        <v>0</v>
      </c>
      <c r="O237" s="169">
        <v>131222.35999999999</v>
      </c>
      <c r="P237" s="169">
        <v>0</v>
      </c>
      <c r="Q237" s="169">
        <v>0</v>
      </c>
      <c r="R237" s="169">
        <v>0</v>
      </c>
      <c r="S237" s="171">
        <f t="shared" si="78"/>
        <v>2187039.29</v>
      </c>
      <c r="T237" s="374">
        <v>2017</v>
      </c>
      <c r="U237" s="374">
        <v>2017</v>
      </c>
      <c r="V237" s="374">
        <f t="shared" si="76"/>
        <v>98</v>
      </c>
      <c r="W237" s="148" t="s">
        <v>141</v>
      </c>
      <c r="X237" s="149">
        <v>5</v>
      </c>
      <c r="Y237" s="149" t="s">
        <v>152</v>
      </c>
    </row>
    <row r="238" spans="1:25" s="23" customFormat="1" ht="18" customHeight="1" x14ac:dyDescent="0.25">
      <c r="A238" s="374">
        <f t="shared" si="77"/>
        <v>214</v>
      </c>
      <c r="B238" s="329" t="s">
        <v>207</v>
      </c>
      <c r="C238" s="176" t="s">
        <v>427</v>
      </c>
      <c r="D238" s="176"/>
      <c r="E238" s="176"/>
      <c r="F238" s="299">
        <v>3600.2</v>
      </c>
      <c r="G238" s="202">
        <v>3153.7</v>
      </c>
      <c r="H238" s="169">
        <f t="shared" si="75"/>
        <v>5786661.0599999996</v>
      </c>
      <c r="I238" s="170">
        <f>ROUND((332.83+727.06+191.67+290.35+292.97)*G238,2)-O238</f>
        <v>5695644.1199999992</v>
      </c>
      <c r="J238" s="169">
        <v>0</v>
      </c>
      <c r="K238" s="169">
        <v>0</v>
      </c>
      <c r="L238" s="170">
        <v>0</v>
      </c>
      <c r="M238" s="169">
        <v>0</v>
      </c>
      <c r="N238" s="169">
        <v>0</v>
      </c>
      <c r="O238" s="169">
        <v>91016.94</v>
      </c>
      <c r="P238" s="169">
        <v>0</v>
      </c>
      <c r="Q238" s="169">
        <v>0</v>
      </c>
      <c r="R238" s="169">
        <v>0</v>
      </c>
      <c r="S238" s="171">
        <f t="shared" si="78"/>
        <v>5786661.0599999996</v>
      </c>
      <c r="T238" s="374">
        <v>2017</v>
      </c>
      <c r="U238" s="374">
        <v>2017</v>
      </c>
      <c r="V238" s="374">
        <f t="shared" si="76"/>
        <v>99</v>
      </c>
      <c r="W238" s="148" t="s">
        <v>142</v>
      </c>
      <c r="X238" s="149">
        <v>5</v>
      </c>
      <c r="Y238" s="149" t="s">
        <v>152</v>
      </c>
    </row>
    <row r="239" spans="1:25" s="23" customFormat="1" ht="18" customHeight="1" x14ac:dyDescent="0.25">
      <c r="A239" s="374">
        <f t="shared" si="77"/>
        <v>215</v>
      </c>
      <c r="B239" s="329" t="s">
        <v>208</v>
      </c>
      <c r="C239" s="176" t="s">
        <v>58</v>
      </c>
      <c r="D239" s="176"/>
      <c r="E239" s="176"/>
      <c r="F239" s="299">
        <v>1698.8</v>
      </c>
      <c r="G239" s="202">
        <v>1505.5</v>
      </c>
      <c r="H239" s="169">
        <f t="shared" si="75"/>
        <v>2762411.84</v>
      </c>
      <c r="I239" s="170">
        <f>ROUND((332.83+727.06+191.67+290.35+292.97)*G239,2)-O239</f>
        <v>2698360.26</v>
      </c>
      <c r="J239" s="169">
        <v>0</v>
      </c>
      <c r="K239" s="169">
        <v>0</v>
      </c>
      <c r="L239" s="170">
        <v>0</v>
      </c>
      <c r="M239" s="169">
        <v>0</v>
      </c>
      <c r="N239" s="169">
        <v>0</v>
      </c>
      <c r="O239" s="169">
        <v>64051.58</v>
      </c>
      <c r="P239" s="169">
        <v>0</v>
      </c>
      <c r="Q239" s="169">
        <v>0</v>
      </c>
      <c r="R239" s="169">
        <v>0</v>
      </c>
      <c r="S239" s="171">
        <f t="shared" si="78"/>
        <v>2762411.84</v>
      </c>
      <c r="T239" s="374">
        <v>2017</v>
      </c>
      <c r="U239" s="374">
        <v>2017</v>
      </c>
      <c r="V239" s="374">
        <f t="shared" si="76"/>
        <v>100</v>
      </c>
      <c r="W239" s="148" t="s">
        <v>142</v>
      </c>
      <c r="X239" s="149">
        <v>4</v>
      </c>
      <c r="Y239" s="149" t="s">
        <v>152</v>
      </c>
    </row>
    <row r="240" spans="1:25" s="23" customFormat="1" ht="18" customHeight="1" x14ac:dyDescent="0.25">
      <c r="A240" s="374">
        <f t="shared" si="77"/>
        <v>216</v>
      </c>
      <c r="B240" s="329" t="s">
        <v>232</v>
      </c>
      <c r="C240" s="176" t="s">
        <v>92</v>
      </c>
      <c r="D240" s="176"/>
      <c r="E240" s="176"/>
      <c r="F240" s="299">
        <v>2546.1</v>
      </c>
      <c r="G240" s="202">
        <v>2504.1</v>
      </c>
      <c r="H240" s="169">
        <f t="shared" si="75"/>
        <v>1003417.91</v>
      </c>
      <c r="I240" s="169">
        <f>ROUND(400.71*G240,2)-O240</f>
        <v>943212.84000000008</v>
      </c>
      <c r="J240" s="169">
        <v>0</v>
      </c>
      <c r="K240" s="169">
        <v>0</v>
      </c>
      <c r="L240" s="170">
        <v>0</v>
      </c>
      <c r="M240" s="169">
        <v>0</v>
      </c>
      <c r="N240" s="169">
        <v>0</v>
      </c>
      <c r="O240" s="169">
        <v>60205.07</v>
      </c>
      <c r="P240" s="169">
        <v>0</v>
      </c>
      <c r="Q240" s="169">
        <v>0</v>
      </c>
      <c r="R240" s="169">
        <v>0</v>
      </c>
      <c r="S240" s="171">
        <f t="shared" si="78"/>
        <v>1003417.91</v>
      </c>
      <c r="T240" s="374">
        <v>2017</v>
      </c>
      <c r="U240" s="374">
        <v>2017</v>
      </c>
      <c r="V240" s="374">
        <f t="shared" si="76"/>
        <v>101</v>
      </c>
      <c r="W240" s="148" t="s">
        <v>141</v>
      </c>
      <c r="X240" s="149">
        <v>9</v>
      </c>
      <c r="Y240" s="149" t="s">
        <v>152</v>
      </c>
    </row>
    <row r="241" spans="1:25" s="23" customFormat="1" ht="18" customHeight="1" x14ac:dyDescent="0.25">
      <c r="A241" s="374">
        <f t="shared" si="77"/>
        <v>217</v>
      </c>
      <c r="B241" s="329" t="s">
        <v>234</v>
      </c>
      <c r="C241" s="176" t="s">
        <v>91</v>
      </c>
      <c r="D241" s="176"/>
      <c r="E241" s="176"/>
      <c r="F241" s="299">
        <v>2537.6</v>
      </c>
      <c r="G241" s="202">
        <v>2494.8000000000002</v>
      </c>
      <c r="H241" s="169">
        <f t="shared" si="75"/>
        <v>999691.31</v>
      </c>
      <c r="I241" s="169">
        <f>ROUND(400.71*G241,2)-O241</f>
        <v>941664.81</v>
      </c>
      <c r="J241" s="169">
        <v>0</v>
      </c>
      <c r="K241" s="169">
        <v>0</v>
      </c>
      <c r="L241" s="170">
        <v>0</v>
      </c>
      <c r="M241" s="169">
        <v>0</v>
      </c>
      <c r="N241" s="169">
        <v>0</v>
      </c>
      <c r="O241" s="169">
        <v>58026.5</v>
      </c>
      <c r="P241" s="169">
        <v>0</v>
      </c>
      <c r="Q241" s="169">
        <v>0</v>
      </c>
      <c r="R241" s="169">
        <v>0</v>
      </c>
      <c r="S241" s="171">
        <f t="shared" si="78"/>
        <v>999691.31</v>
      </c>
      <c r="T241" s="374">
        <v>2017</v>
      </c>
      <c r="U241" s="374">
        <v>2017</v>
      </c>
      <c r="V241" s="374">
        <f t="shared" si="76"/>
        <v>102</v>
      </c>
      <c r="W241" s="148" t="s">
        <v>141</v>
      </c>
      <c r="X241" s="149">
        <v>9</v>
      </c>
      <c r="Y241" s="150" t="s">
        <v>152</v>
      </c>
    </row>
    <row r="242" spans="1:25" s="23" customFormat="1" ht="18" customHeight="1" x14ac:dyDescent="0.25">
      <c r="A242" s="374">
        <f t="shared" si="77"/>
        <v>218</v>
      </c>
      <c r="B242" s="329" t="s">
        <v>126</v>
      </c>
      <c r="C242" s="176" t="s">
        <v>74</v>
      </c>
      <c r="D242" s="176"/>
      <c r="E242" s="176"/>
      <c r="F242" s="299">
        <v>9393.9</v>
      </c>
      <c r="G242" s="202">
        <v>7167.8</v>
      </c>
      <c r="H242" s="169">
        <f t="shared" si="75"/>
        <v>28674091.48</v>
      </c>
      <c r="I242" s="169">
        <v>0</v>
      </c>
      <c r="J242" s="324">
        <f>ROUND(2855540.15*7,2)-O242</f>
        <v>19173478.780000001</v>
      </c>
      <c r="K242" s="169">
        <v>0</v>
      </c>
      <c r="L242" s="170">
        <v>0</v>
      </c>
      <c r="M242" s="386">
        <f>ROUND(7167.8*1255.74,2)-315582.74</f>
        <v>8685310.4299999997</v>
      </c>
      <c r="N242" s="169">
        <v>0</v>
      </c>
      <c r="O242" s="169">
        <f>499719.53+315582.74</f>
        <v>815302.27</v>
      </c>
      <c r="P242" s="169">
        <v>0</v>
      </c>
      <c r="Q242" s="169">
        <v>0</v>
      </c>
      <c r="R242" s="169">
        <v>0</v>
      </c>
      <c r="S242" s="171">
        <f t="shared" si="78"/>
        <v>28674091.48</v>
      </c>
      <c r="T242" s="374">
        <v>2016</v>
      </c>
      <c r="U242" s="374">
        <v>2017</v>
      </c>
      <c r="V242" s="374">
        <f t="shared" si="76"/>
        <v>103</v>
      </c>
      <c r="W242" s="148" t="s">
        <v>142</v>
      </c>
      <c r="X242" s="149">
        <v>8</v>
      </c>
      <c r="Y242" s="149" t="s">
        <v>153</v>
      </c>
    </row>
    <row r="243" spans="1:25" s="23" customFormat="1" ht="18" customHeight="1" x14ac:dyDescent="0.25">
      <c r="A243" s="374">
        <f t="shared" si="77"/>
        <v>219</v>
      </c>
      <c r="B243" s="329" t="s">
        <v>175</v>
      </c>
      <c r="C243" s="191" t="s">
        <v>432</v>
      </c>
      <c r="D243" s="191"/>
      <c r="E243" s="191"/>
      <c r="F243" s="299">
        <v>1615.1</v>
      </c>
      <c r="G243" s="202">
        <v>1235.5999999999999</v>
      </c>
      <c r="H243" s="169">
        <f t="shared" si="75"/>
        <v>957577.64</v>
      </c>
      <c r="I243" s="169">
        <f>ROUND((191.67+290.35+292.97)*G243,2)-O243</f>
        <v>900122.98</v>
      </c>
      <c r="J243" s="169">
        <v>0</v>
      </c>
      <c r="K243" s="169">
        <v>0</v>
      </c>
      <c r="L243" s="169">
        <v>0</v>
      </c>
      <c r="M243" s="169">
        <v>0</v>
      </c>
      <c r="N243" s="169">
        <v>0</v>
      </c>
      <c r="O243" s="169">
        <v>57454.66</v>
      </c>
      <c r="P243" s="169">
        <v>0</v>
      </c>
      <c r="Q243" s="169">
        <v>0</v>
      </c>
      <c r="R243" s="169">
        <v>0</v>
      </c>
      <c r="S243" s="171">
        <f t="shared" si="78"/>
        <v>957577.64</v>
      </c>
      <c r="T243" s="374">
        <v>2017</v>
      </c>
      <c r="U243" s="374">
        <v>2017</v>
      </c>
      <c r="V243" s="374">
        <f t="shared" si="76"/>
        <v>104</v>
      </c>
      <c r="W243" s="148" t="s">
        <v>142</v>
      </c>
      <c r="X243" s="149">
        <v>4</v>
      </c>
      <c r="Y243" s="149" t="s">
        <v>153</v>
      </c>
    </row>
    <row r="244" spans="1:25" s="23" customFormat="1" ht="18" customHeight="1" x14ac:dyDescent="0.25">
      <c r="A244" s="374">
        <f t="shared" si="77"/>
        <v>220</v>
      </c>
      <c r="B244" s="329" t="s">
        <v>174</v>
      </c>
      <c r="C244" s="191" t="s">
        <v>430</v>
      </c>
      <c r="D244" s="191"/>
      <c r="E244" s="191"/>
      <c r="F244" s="299">
        <v>2206.6999999999998</v>
      </c>
      <c r="G244" s="202">
        <v>1398.8</v>
      </c>
      <c r="H244" s="169">
        <f t="shared" si="75"/>
        <v>1601290.29</v>
      </c>
      <c r="I244" s="169">
        <v>0</v>
      </c>
      <c r="J244" s="169">
        <v>0</v>
      </c>
      <c r="K244" s="169">
        <v>0</v>
      </c>
      <c r="L244" s="169">
        <v>0</v>
      </c>
      <c r="M244" s="170">
        <f>ROUND(1144.76*G244,2)-O244</f>
        <v>1505212.87</v>
      </c>
      <c r="N244" s="169">
        <v>0</v>
      </c>
      <c r="O244" s="169">
        <v>96077.42</v>
      </c>
      <c r="P244" s="169">
        <v>0</v>
      </c>
      <c r="Q244" s="169">
        <v>0</v>
      </c>
      <c r="R244" s="169">
        <v>0</v>
      </c>
      <c r="S244" s="171">
        <f t="shared" si="78"/>
        <v>1601290.29</v>
      </c>
      <c r="T244" s="374">
        <v>2017</v>
      </c>
      <c r="U244" s="374">
        <v>2017</v>
      </c>
      <c r="V244" s="374">
        <f t="shared" si="76"/>
        <v>105</v>
      </c>
      <c r="W244" s="148" t="s">
        <v>142</v>
      </c>
      <c r="X244" s="149">
        <v>4</v>
      </c>
      <c r="Y244" s="149" t="s">
        <v>153</v>
      </c>
    </row>
    <row r="245" spans="1:25" s="23" customFormat="1" ht="18" customHeight="1" x14ac:dyDescent="0.25">
      <c r="A245" s="374">
        <f t="shared" si="77"/>
        <v>221</v>
      </c>
      <c r="B245" s="271" t="s">
        <v>47</v>
      </c>
      <c r="C245" s="176" t="s">
        <v>430</v>
      </c>
      <c r="D245" s="176"/>
      <c r="E245" s="176"/>
      <c r="F245" s="299">
        <v>3850.4</v>
      </c>
      <c r="G245" s="202">
        <v>3132.6</v>
      </c>
      <c r="H245" s="169">
        <f t="shared" si="75"/>
        <v>3586075.18</v>
      </c>
      <c r="I245" s="169">
        <v>0</v>
      </c>
      <c r="J245" s="169">
        <v>0</v>
      </c>
      <c r="K245" s="169">
        <v>0</v>
      </c>
      <c r="L245" s="169">
        <v>0</v>
      </c>
      <c r="M245" s="170">
        <f>ROUND(1144.76*G245,2)-O245</f>
        <v>3425768.64</v>
      </c>
      <c r="N245" s="169">
        <v>0</v>
      </c>
      <c r="O245" s="169">
        <v>160306.54</v>
      </c>
      <c r="P245" s="169">
        <v>0</v>
      </c>
      <c r="Q245" s="169">
        <v>0</v>
      </c>
      <c r="R245" s="169">
        <v>0</v>
      </c>
      <c r="S245" s="171">
        <f t="shared" si="78"/>
        <v>3586075.18</v>
      </c>
      <c r="T245" s="374">
        <v>2017</v>
      </c>
      <c r="U245" s="374">
        <v>2017</v>
      </c>
      <c r="V245" s="374">
        <f t="shared" si="76"/>
        <v>106</v>
      </c>
      <c r="W245" s="148" t="s">
        <v>142</v>
      </c>
      <c r="X245" s="149">
        <v>4</v>
      </c>
      <c r="Y245" s="149" t="s">
        <v>153</v>
      </c>
    </row>
    <row r="246" spans="1:25" s="23" customFormat="1" ht="18" customHeight="1" x14ac:dyDescent="0.25">
      <c r="A246" s="374">
        <f t="shared" si="77"/>
        <v>222</v>
      </c>
      <c r="B246" s="329" t="s">
        <v>176</v>
      </c>
      <c r="C246" s="176" t="s">
        <v>431</v>
      </c>
      <c r="D246" s="176"/>
      <c r="E246" s="176"/>
      <c r="F246" s="299">
        <v>2829.1</v>
      </c>
      <c r="G246" s="202">
        <v>2762.4</v>
      </c>
      <c r="H246" s="169">
        <f t="shared" si="75"/>
        <v>2962535.88</v>
      </c>
      <c r="I246" s="169">
        <v>0</v>
      </c>
      <c r="J246" s="332">
        <v>0</v>
      </c>
      <c r="K246" s="327">
        <f>ROUND(1072.45*G246,2)-O246</f>
        <v>2880713.5</v>
      </c>
      <c r="L246" s="170">
        <v>0</v>
      </c>
      <c r="M246" s="169">
        <v>0</v>
      </c>
      <c r="N246" s="169">
        <v>0</v>
      </c>
      <c r="O246" s="169">
        <v>81822.38</v>
      </c>
      <c r="P246" s="169">
        <v>0</v>
      </c>
      <c r="Q246" s="169">
        <v>0</v>
      </c>
      <c r="R246" s="169">
        <v>0</v>
      </c>
      <c r="S246" s="171">
        <f t="shared" si="78"/>
        <v>2962535.88</v>
      </c>
      <c r="T246" s="374">
        <v>2017</v>
      </c>
      <c r="U246" s="374">
        <v>2017</v>
      </c>
      <c r="V246" s="374">
        <f t="shared" si="76"/>
        <v>107</v>
      </c>
      <c r="W246" s="148" t="s">
        <v>141</v>
      </c>
      <c r="X246" s="149">
        <v>5</v>
      </c>
      <c r="Y246" s="149" t="s">
        <v>152</v>
      </c>
    </row>
    <row r="247" spans="1:25" s="23" customFormat="1" ht="18" customHeight="1" x14ac:dyDescent="0.25">
      <c r="A247" s="374">
        <f t="shared" si="77"/>
        <v>223</v>
      </c>
      <c r="B247" s="329" t="s">
        <v>421</v>
      </c>
      <c r="C247" s="176" t="s">
        <v>63</v>
      </c>
      <c r="D247" s="176"/>
      <c r="E247" s="176"/>
      <c r="F247" s="299">
        <v>2987.6</v>
      </c>
      <c r="G247" s="202">
        <v>2973.5</v>
      </c>
      <c r="H247" s="169">
        <f t="shared" si="75"/>
        <v>2304432.77</v>
      </c>
      <c r="I247" s="169">
        <f>ROUND((191.67+290.35+292.97)*G247,2)-O247</f>
        <v>2172938.29</v>
      </c>
      <c r="J247" s="169">
        <v>0</v>
      </c>
      <c r="K247" s="169">
        <v>0</v>
      </c>
      <c r="L247" s="170">
        <v>0</v>
      </c>
      <c r="M247" s="169">
        <v>0</v>
      </c>
      <c r="N247" s="169">
        <v>0</v>
      </c>
      <c r="O247" s="169">
        <v>131494.48000000001</v>
      </c>
      <c r="P247" s="169">
        <v>0</v>
      </c>
      <c r="Q247" s="169">
        <v>0</v>
      </c>
      <c r="R247" s="169">
        <v>0</v>
      </c>
      <c r="S247" s="171">
        <f t="shared" si="78"/>
        <v>2304432.77</v>
      </c>
      <c r="T247" s="374">
        <v>2017</v>
      </c>
      <c r="U247" s="374">
        <v>2017</v>
      </c>
      <c r="V247" s="374">
        <f t="shared" si="76"/>
        <v>108</v>
      </c>
      <c r="W247" s="148" t="s">
        <v>142</v>
      </c>
      <c r="X247" s="149">
        <v>5</v>
      </c>
      <c r="Y247" s="149" t="s">
        <v>152</v>
      </c>
    </row>
    <row r="248" spans="1:25" s="23" customFormat="1" ht="18" customHeight="1" x14ac:dyDescent="0.25">
      <c r="A248" s="374">
        <f t="shared" si="77"/>
        <v>224</v>
      </c>
      <c r="B248" s="329" t="s">
        <v>422</v>
      </c>
      <c r="C248" s="176" t="s">
        <v>63</v>
      </c>
      <c r="D248" s="176"/>
      <c r="E248" s="176"/>
      <c r="F248" s="299">
        <v>2959</v>
      </c>
      <c r="G248" s="202">
        <v>2945.3</v>
      </c>
      <c r="H248" s="169">
        <f t="shared" si="75"/>
        <v>2282578.0499999998</v>
      </c>
      <c r="I248" s="169">
        <f>ROUND((191.67+290.35+292.97)*G248,2)-O248</f>
        <v>2179394.13</v>
      </c>
      <c r="J248" s="334">
        <v>0</v>
      </c>
      <c r="K248" s="169">
        <v>0</v>
      </c>
      <c r="L248" s="170">
        <v>0</v>
      </c>
      <c r="M248" s="169">
        <v>0</v>
      </c>
      <c r="N248" s="169">
        <v>0</v>
      </c>
      <c r="O248" s="169">
        <v>103183.92</v>
      </c>
      <c r="P248" s="169">
        <v>0</v>
      </c>
      <c r="Q248" s="169">
        <v>0</v>
      </c>
      <c r="R248" s="169">
        <v>0</v>
      </c>
      <c r="S248" s="171">
        <f t="shared" si="78"/>
        <v>2282578.0499999998</v>
      </c>
      <c r="T248" s="374">
        <v>2017</v>
      </c>
      <c r="U248" s="374">
        <v>2017</v>
      </c>
      <c r="V248" s="374">
        <f t="shared" si="76"/>
        <v>109</v>
      </c>
      <c r="W248" s="148" t="s">
        <v>142</v>
      </c>
      <c r="X248" s="149">
        <v>5</v>
      </c>
      <c r="Y248" s="149" t="s">
        <v>152</v>
      </c>
    </row>
    <row r="249" spans="1:25" s="23" customFormat="1" ht="18" customHeight="1" x14ac:dyDescent="0.25">
      <c r="A249" s="374">
        <f t="shared" si="77"/>
        <v>225</v>
      </c>
      <c r="B249" s="329" t="s">
        <v>423</v>
      </c>
      <c r="C249" s="176" t="s">
        <v>63</v>
      </c>
      <c r="D249" s="176"/>
      <c r="E249" s="176"/>
      <c r="F249" s="299">
        <v>2495.6</v>
      </c>
      <c r="G249" s="202">
        <v>2481.6</v>
      </c>
      <c r="H249" s="169">
        <f t="shared" si="75"/>
        <v>1923215.18</v>
      </c>
      <c r="I249" s="169">
        <f>ROUND((191.67+290.35+292.97)*G249,2)-O249</f>
        <v>1832274.94</v>
      </c>
      <c r="J249" s="334">
        <v>0</v>
      </c>
      <c r="K249" s="169">
        <v>0</v>
      </c>
      <c r="L249" s="170">
        <v>0</v>
      </c>
      <c r="M249" s="169">
        <v>0</v>
      </c>
      <c r="N249" s="169">
        <v>0</v>
      </c>
      <c r="O249" s="169">
        <v>90940.24</v>
      </c>
      <c r="P249" s="169">
        <v>0</v>
      </c>
      <c r="Q249" s="169">
        <v>0</v>
      </c>
      <c r="R249" s="169">
        <v>0</v>
      </c>
      <c r="S249" s="171">
        <f t="shared" si="78"/>
        <v>1923215.18</v>
      </c>
      <c r="T249" s="374">
        <v>2017</v>
      </c>
      <c r="U249" s="374">
        <v>2017</v>
      </c>
      <c r="V249" s="374">
        <f t="shared" si="76"/>
        <v>110</v>
      </c>
      <c r="W249" s="148" t="s">
        <v>142</v>
      </c>
      <c r="X249" s="149">
        <v>5</v>
      </c>
      <c r="Y249" s="150" t="s">
        <v>152</v>
      </c>
    </row>
    <row r="250" spans="1:25" s="23" customFormat="1" ht="18" customHeight="1" x14ac:dyDescent="0.25">
      <c r="A250" s="374">
        <f t="shared" si="77"/>
        <v>226</v>
      </c>
      <c r="B250" s="329" t="s">
        <v>424</v>
      </c>
      <c r="C250" s="176" t="s">
        <v>63</v>
      </c>
      <c r="D250" s="176"/>
      <c r="E250" s="176"/>
      <c r="F250" s="299">
        <v>2979</v>
      </c>
      <c r="G250" s="202">
        <v>2960.3</v>
      </c>
      <c r="H250" s="169">
        <f t="shared" si="75"/>
        <v>2294202.9</v>
      </c>
      <c r="I250" s="169">
        <f>ROUND((191.67+290.35+292.97)*G250,2)-O250</f>
        <v>2188389.94</v>
      </c>
      <c r="J250" s="334">
        <v>0</v>
      </c>
      <c r="K250" s="169">
        <v>0</v>
      </c>
      <c r="L250" s="170">
        <v>0</v>
      </c>
      <c r="M250" s="169">
        <v>0</v>
      </c>
      <c r="N250" s="169">
        <v>0</v>
      </c>
      <c r="O250" s="169">
        <v>105812.96</v>
      </c>
      <c r="P250" s="169">
        <v>0</v>
      </c>
      <c r="Q250" s="169">
        <v>0</v>
      </c>
      <c r="R250" s="169">
        <v>0</v>
      </c>
      <c r="S250" s="171">
        <f t="shared" si="78"/>
        <v>2294202.9</v>
      </c>
      <c r="T250" s="374">
        <v>2017</v>
      </c>
      <c r="U250" s="374">
        <v>2017</v>
      </c>
      <c r="V250" s="374">
        <f t="shared" si="76"/>
        <v>111</v>
      </c>
      <c r="W250" s="148" t="s">
        <v>142</v>
      </c>
      <c r="X250" s="149">
        <v>5</v>
      </c>
      <c r="Y250" s="150" t="s">
        <v>152</v>
      </c>
    </row>
    <row r="251" spans="1:25" s="23" customFormat="1" ht="18" customHeight="1" x14ac:dyDescent="0.25">
      <c r="A251" s="374">
        <f t="shared" si="77"/>
        <v>227</v>
      </c>
      <c r="B251" s="329" t="s">
        <v>48</v>
      </c>
      <c r="C251" s="176" t="s">
        <v>99</v>
      </c>
      <c r="D251" s="176"/>
      <c r="E251" s="176"/>
      <c r="F251" s="299">
        <v>2818.7</v>
      </c>
      <c r="G251" s="202">
        <v>2796.3</v>
      </c>
      <c r="H251" s="169">
        <f t="shared" si="75"/>
        <v>4200182.42</v>
      </c>
      <c r="I251" s="169">
        <f>ROUND((191.67+290.35+292.97+727.06)*G251,2)-O251</f>
        <v>3976244.38</v>
      </c>
      <c r="J251" s="169">
        <v>0</v>
      </c>
      <c r="K251" s="169">
        <v>0</v>
      </c>
      <c r="L251" s="170">
        <v>0</v>
      </c>
      <c r="M251" s="169">
        <v>0</v>
      </c>
      <c r="N251" s="169">
        <v>0</v>
      </c>
      <c r="O251" s="169">
        <v>223938.04</v>
      </c>
      <c r="P251" s="169">
        <v>0</v>
      </c>
      <c r="Q251" s="169">
        <v>0</v>
      </c>
      <c r="R251" s="169">
        <v>0</v>
      </c>
      <c r="S251" s="171">
        <f t="shared" si="78"/>
        <v>4200182.42</v>
      </c>
      <c r="T251" s="374">
        <v>2017</v>
      </c>
      <c r="U251" s="374">
        <v>2017</v>
      </c>
      <c r="V251" s="374">
        <f t="shared" si="76"/>
        <v>112</v>
      </c>
      <c r="W251" s="148" t="s">
        <v>142</v>
      </c>
      <c r="X251" s="149">
        <v>5</v>
      </c>
      <c r="Y251" s="150" t="s">
        <v>152</v>
      </c>
    </row>
    <row r="252" spans="1:25" s="23" customFormat="1" ht="18" customHeight="1" x14ac:dyDescent="0.25">
      <c r="A252" s="374">
        <f t="shared" si="77"/>
        <v>228</v>
      </c>
      <c r="B252" s="329" t="s">
        <v>425</v>
      </c>
      <c r="C252" s="176" t="s">
        <v>62</v>
      </c>
      <c r="D252" s="176"/>
      <c r="E252" s="176"/>
      <c r="F252" s="299">
        <v>2606.8000000000002</v>
      </c>
      <c r="G252" s="202">
        <v>2575.6999999999998</v>
      </c>
      <c r="H252" s="169">
        <f t="shared" si="75"/>
        <v>1996785.67</v>
      </c>
      <c r="I252" s="169">
        <f>ROUND((214.38+293.24+267.62)*G252,2)-O252</f>
        <v>1910551.27</v>
      </c>
      <c r="J252" s="169">
        <v>0</v>
      </c>
      <c r="K252" s="169">
        <v>0</v>
      </c>
      <c r="L252" s="170">
        <v>0</v>
      </c>
      <c r="M252" s="169">
        <v>0</v>
      </c>
      <c r="N252" s="169">
        <v>0</v>
      </c>
      <c r="O252" s="169">
        <v>86234.4</v>
      </c>
      <c r="P252" s="169">
        <v>0</v>
      </c>
      <c r="Q252" s="169">
        <v>0</v>
      </c>
      <c r="R252" s="169">
        <v>0</v>
      </c>
      <c r="S252" s="171">
        <f t="shared" si="78"/>
        <v>1996785.67</v>
      </c>
      <c r="T252" s="374">
        <v>2017</v>
      </c>
      <c r="U252" s="374">
        <v>2017</v>
      </c>
      <c r="V252" s="374">
        <f t="shared" si="76"/>
        <v>113</v>
      </c>
      <c r="W252" s="148" t="s">
        <v>141</v>
      </c>
      <c r="X252" s="149">
        <v>5</v>
      </c>
      <c r="Y252" s="150" t="s">
        <v>152</v>
      </c>
    </row>
    <row r="253" spans="1:25" s="23" customFormat="1" ht="18" customHeight="1" x14ac:dyDescent="0.25">
      <c r="A253" s="374">
        <f t="shared" si="77"/>
        <v>229</v>
      </c>
      <c r="B253" s="329" t="s">
        <v>107</v>
      </c>
      <c r="C253" s="176" t="s">
        <v>53</v>
      </c>
      <c r="D253" s="176"/>
      <c r="E253" s="176"/>
      <c r="F253" s="299">
        <v>311.8</v>
      </c>
      <c r="G253" s="202">
        <v>282.89999999999998</v>
      </c>
      <c r="H253" s="169">
        <f t="shared" si="75"/>
        <v>437388.86</v>
      </c>
      <c r="I253" s="169">
        <f>ROUND((197.29+298.86+301.56+748.38)*G253,2)-O253</f>
        <v>415334.66</v>
      </c>
      <c r="J253" s="169">
        <v>0</v>
      </c>
      <c r="K253" s="169">
        <v>0</v>
      </c>
      <c r="L253" s="169">
        <v>0</v>
      </c>
      <c r="M253" s="169">
        <v>0</v>
      </c>
      <c r="N253" s="169">
        <v>0</v>
      </c>
      <c r="O253" s="169">
        <v>22054.2</v>
      </c>
      <c r="P253" s="169">
        <v>0</v>
      </c>
      <c r="Q253" s="169">
        <v>0</v>
      </c>
      <c r="R253" s="169">
        <v>0</v>
      </c>
      <c r="S253" s="171">
        <f t="shared" si="78"/>
        <v>437388.86</v>
      </c>
      <c r="T253" s="374">
        <v>2017</v>
      </c>
      <c r="U253" s="374">
        <v>2017</v>
      </c>
      <c r="V253" s="374">
        <f t="shared" si="76"/>
        <v>114</v>
      </c>
      <c r="W253" s="148" t="s">
        <v>142</v>
      </c>
      <c r="X253" s="149">
        <v>2</v>
      </c>
      <c r="Y253" s="150" t="s">
        <v>153</v>
      </c>
    </row>
    <row r="254" spans="1:25" s="23" customFormat="1" ht="18" customHeight="1" x14ac:dyDescent="0.25">
      <c r="A254" s="374">
        <f t="shared" si="77"/>
        <v>230</v>
      </c>
      <c r="B254" s="329" t="s">
        <v>210</v>
      </c>
      <c r="C254" s="176" t="s">
        <v>63</v>
      </c>
      <c r="D254" s="176"/>
      <c r="E254" s="176"/>
      <c r="F254" s="299">
        <v>1860.4</v>
      </c>
      <c r="G254" s="202">
        <v>1260.9000000000001</v>
      </c>
      <c r="H254" s="169">
        <f t="shared" si="75"/>
        <v>1443427.88</v>
      </c>
      <c r="I254" s="169">
        <v>0</v>
      </c>
      <c r="J254" s="169">
        <v>0</v>
      </c>
      <c r="K254" s="169">
        <v>0</v>
      </c>
      <c r="L254" s="170">
        <v>0</v>
      </c>
      <c r="M254" s="170">
        <f>ROUND(1144.76*G254,2)-O254</f>
        <v>1372306.92</v>
      </c>
      <c r="N254" s="169">
        <v>0</v>
      </c>
      <c r="O254" s="169">
        <v>71120.960000000006</v>
      </c>
      <c r="P254" s="169">
        <v>0</v>
      </c>
      <c r="Q254" s="169">
        <v>0</v>
      </c>
      <c r="R254" s="169">
        <v>0</v>
      </c>
      <c r="S254" s="171">
        <f t="shared" si="78"/>
        <v>1443427.88</v>
      </c>
      <c r="T254" s="374">
        <v>2017</v>
      </c>
      <c r="U254" s="374">
        <v>2017</v>
      </c>
      <c r="V254" s="374">
        <f t="shared" si="76"/>
        <v>115</v>
      </c>
      <c r="W254" s="148" t="s">
        <v>142</v>
      </c>
      <c r="X254" s="149">
        <v>5</v>
      </c>
      <c r="Y254" s="150" t="s">
        <v>153</v>
      </c>
    </row>
    <row r="255" spans="1:25" s="23" customFormat="1" ht="18" customHeight="1" x14ac:dyDescent="0.3">
      <c r="A255" s="374">
        <f t="shared" si="77"/>
        <v>231</v>
      </c>
      <c r="B255" s="329" t="s">
        <v>450</v>
      </c>
      <c r="C255" s="215">
        <v>1950</v>
      </c>
      <c r="D255" s="176"/>
      <c r="E255" s="176"/>
      <c r="F255" s="359">
        <v>1139.8</v>
      </c>
      <c r="G255" s="216">
        <v>792.77</v>
      </c>
      <c r="H255" s="169">
        <f t="shared" si="75"/>
        <v>1453741.99</v>
      </c>
      <c r="I255" s="169">
        <f>ROUND((197.29+298.86+301.56+1036.04)*G255,2)-O255</f>
        <v>1366517.47</v>
      </c>
      <c r="J255" s="169">
        <v>0</v>
      </c>
      <c r="K255" s="169">
        <v>0</v>
      </c>
      <c r="L255" s="169">
        <v>0</v>
      </c>
      <c r="M255" s="169">
        <v>0</v>
      </c>
      <c r="N255" s="169">
        <v>0</v>
      </c>
      <c r="O255" s="169">
        <v>87224.52</v>
      </c>
      <c r="P255" s="169">
        <v>0</v>
      </c>
      <c r="Q255" s="169">
        <v>0</v>
      </c>
      <c r="R255" s="169">
        <v>0</v>
      </c>
      <c r="S255" s="171">
        <f t="shared" si="78"/>
        <v>1453741.99</v>
      </c>
      <c r="T255" s="374">
        <v>2017</v>
      </c>
      <c r="U255" s="374">
        <v>2017</v>
      </c>
      <c r="V255" s="374">
        <f t="shared" si="76"/>
        <v>116</v>
      </c>
      <c r="W255" s="148" t="s">
        <v>142</v>
      </c>
      <c r="X255" s="149">
        <v>2</v>
      </c>
      <c r="Y255" s="150" t="s">
        <v>153</v>
      </c>
    </row>
    <row r="256" spans="1:25" s="23" customFormat="1" ht="18" customHeight="1" x14ac:dyDescent="0.3">
      <c r="A256" s="374">
        <f t="shared" si="77"/>
        <v>232</v>
      </c>
      <c r="B256" s="329" t="s">
        <v>451</v>
      </c>
      <c r="C256" s="215">
        <v>1951</v>
      </c>
      <c r="D256" s="176"/>
      <c r="E256" s="176"/>
      <c r="F256" s="359">
        <v>1169.8</v>
      </c>
      <c r="G256" s="216">
        <v>636.20000000000005</v>
      </c>
      <c r="H256" s="169">
        <f t="shared" si="75"/>
        <v>1166631.75</v>
      </c>
      <c r="I256" s="169">
        <f>ROUND((197.29+298.86+301.56+1036.04)*G256,2)-O256</f>
        <v>1096633.8400000001</v>
      </c>
      <c r="J256" s="169">
        <v>0</v>
      </c>
      <c r="K256" s="169">
        <v>0</v>
      </c>
      <c r="L256" s="169">
        <v>0</v>
      </c>
      <c r="M256" s="169">
        <v>0</v>
      </c>
      <c r="N256" s="169">
        <v>0</v>
      </c>
      <c r="O256" s="169">
        <v>69997.91</v>
      </c>
      <c r="P256" s="169">
        <v>0</v>
      </c>
      <c r="Q256" s="169">
        <v>0</v>
      </c>
      <c r="R256" s="169">
        <v>0</v>
      </c>
      <c r="S256" s="171">
        <f t="shared" si="78"/>
        <v>1166631.75</v>
      </c>
      <c r="T256" s="374">
        <v>2017</v>
      </c>
      <c r="U256" s="374">
        <v>2017</v>
      </c>
      <c r="V256" s="374">
        <f t="shared" si="76"/>
        <v>117</v>
      </c>
      <c r="W256" s="148" t="s">
        <v>142</v>
      </c>
      <c r="X256" s="149">
        <v>2</v>
      </c>
      <c r="Y256" s="150" t="s">
        <v>153</v>
      </c>
    </row>
    <row r="257" spans="1:25" s="23" customFormat="1" ht="18" customHeight="1" x14ac:dyDescent="0.3">
      <c r="A257" s="374">
        <f t="shared" si="77"/>
        <v>233</v>
      </c>
      <c r="B257" s="329" t="s">
        <v>452</v>
      </c>
      <c r="C257" s="215">
        <v>1951</v>
      </c>
      <c r="D257" s="176"/>
      <c r="E257" s="176"/>
      <c r="F257" s="359">
        <v>1022.7</v>
      </c>
      <c r="G257" s="216">
        <v>596.9</v>
      </c>
      <c r="H257" s="169">
        <f t="shared" si="75"/>
        <v>1094565.3799999999</v>
      </c>
      <c r="I257" s="169">
        <f>ROUND((197.29+298.86+301.56+1036.04)*G257,2)-O257</f>
        <v>1028891.4599999998</v>
      </c>
      <c r="J257" s="169">
        <v>0</v>
      </c>
      <c r="K257" s="169">
        <v>0</v>
      </c>
      <c r="L257" s="169">
        <v>0</v>
      </c>
      <c r="M257" s="169">
        <v>0</v>
      </c>
      <c r="N257" s="169">
        <v>0</v>
      </c>
      <c r="O257" s="169">
        <v>65673.919999999998</v>
      </c>
      <c r="P257" s="169">
        <v>0</v>
      </c>
      <c r="Q257" s="169">
        <v>0</v>
      </c>
      <c r="R257" s="169">
        <v>0</v>
      </c>
      <c r="S257" s="171">
        <f t="shared" si="78"/>
        <v>1094565.3799999999</v>
      </c>
      <c r="T257" s="374">
        <v>2017</v>
      </c>
      <c r="U257" s="374">
        <v>2017</v>
      </c>
      <c r="V257" s="374">
        <f t="shared" si="76"/>
        <v>118</v>
      </c>
      <c r="W257" s="148" t="s">
        <v>142</v>
      </c>
      <c r="X257" s="149">
        <v>2</v>
      </c>
      <c r="Y257" s="150" t="s">
        <v>153</v>
      </c>
    </row>
    <row r="258" spans="1:25" s="23" customFormat="1" ht="18" customHeight="1" x14ac:dyDescent="0.3">
      <c r="A258" s="374">
        <f t="shared" si="77"/>
        <v>234</v>
      </c>
      <c r="B258" s="329" t="s">
        <v>453</v>
      </c>
      <c r="C258" s="215">
        <v>1950</v>
      </c>
      <c r="D258" s="176"/>
      <c r="E258" s="176"/>
      <c r="F258" s="359">
        <v>1191.0999999999999</v>
      </c>
      <c r="G258" s="216">
        <v>720.6</v>
      </c>
      <c r="H258" s="169">
        <f t="shared" si="75"/>
        <v>1321400.25</v>
      </c>
      <c r="I258" s="169">
        <f>ROUND((197.29+298.86+301.56+1036.04)*G258,2)-O258</f>
        <v>1242116.23</v>
      </c>
      <c r="J258" s="169">
        <v>0</v>
      </c>
      <c r="K258" s="169">
        <v>0</v>
      </c>
      <c r="L258" s="169">
        <v>0</v>
      </c>
      <c r="M258" s="169">
        <v>0</v>
      </c>
      <c r="N258" s="169">
        <v>0</v>
      </c>
      <c r="O258" s="169">
        <v>79284.02</v>
      </c>
      <c r="P258" s="169">
        <v>0</v>
      </c>
      <c r="Q258" s="169">
        <v>0</v>
      </c>
      <c r="R258" s="169">
        <v>0</v>
      </c>
      <c r="S258" s="171">
        <f t="shared" si="78"/>
        <v>1321400.25</v>
      </c>
      <c r="T258" s="374">
        <v>2017</v>
      </c>
      <c r="U258" s="374">
        <v>2017</v>
      </c>
      <c r="V258" s="374">
        <f t="shared" si="76"/>
        <v>119</v>
      </c>
      <c r="W258" s="148" t="s">
        <v>142</v>
      </c>
      <c r="X258" s="149">
        <v>2</v>
      </c>
      <c r="Y258" s="150" t="s">
        <v>153</v>
      </c>
    </row>
    <row r="259" spans="1:25" s="23" customFormat="1" ht="18" customHeight="1" x14ac:dyDescent="0.25">
      <c r="A259" s="374">
        <f t="shared" si="77"/>
        <v>235</v>
      </c>
      <c r="B259" s="329" t="s">
        <v>244</v>
      </c>
      <c r="C259" s="176" t="s">
        <v>18</v>
      </c>
      <c r="D259" s="176"/>
      <c r="E259" s="176"/>
      <c r="F259" s="299">
        <v>692.2</v>
      </c>
      <c r="G259" s="202">
        <v>626.9</v>
      </c>
      <c r="H259" s="169">
        <f t="shared" si="75"/>
        <v>3795603.67</v>
      </c>
      <c r="I259" s="169">
        <f>ROUND((197.29+298.86)*G259,2)-12513.64</f>
        <v>298522.8</v>
      </c>
      <c r="J259" s="169">
        <v>0</v>
      </c>
      <c r="K259" s="170">
        <f>ROUND(4211.64*G259,2)-106223.81</f>
        <v>2534053.31</v>
      </c>
      <c r="L259" s="170">
        <v>0</v>
      </c>
      <c r="M259" s="170">
        <f>ROUND(1346.77*G259,2)-33967.54</f>
        <v>810322.57</v>
      </c>
      <c r="N259" s="169">
        <v>0</v>
      </c>
      <c r="O259" s="169">
        <v>152704.99</v>
      </c>
      <c r="P259" s="169">
        <v>0</v>
      </c>
      <c r="Q259" s="169">
        <v>0</v>
      </c>
      <c r="R259" s="169">
        <v>0</v>
      </c>
      <c r="S259" s="171">
        <f t="shared" si="78"/>
        <v>3795603.67</v>
      </c>
      <c r="T259" s="374">
        <v>2017</v>
      </c>
      <c r="U259" s="374">
        <v>2017</v>
      </c>
      <c r="V259" s="374">
        <f t="shared" si="76"/>
        <v>120</v>
      </c>
      <c r="W259" s="148" t="s">
        <v>142</v>
      </c>
      <c r="X259" s="149">
        <v>2</v>
      </c>
      <c r="Y259" s="150" t="s">
        <v>153</v>
      </c>
    </row>
    <row r="260" spans="1:25" s="23" customFormat="1" ht="18" customHeight="1" x14ac:dyDescent="0.25">
      <c r="A260" s="374">
        <f t="shared" si="77"/>
        <v>236</v>
      </c>
      <c r="B260" s="329" t="s">
        <v>245</v>
      </c>
      <c r="C260" s="176" t="s">
        <v>95</v>
      </c>
      <c r="D260" s="176"/>
      <c r="E260" s="176"/>
      <c r="F260" s="299">
        <v>7753.1</v>
      </c>
      <c r="G260" s="202">
        <v>7734</v>
      </c>
      <c r="H260" s="169">
        <f t="shared" si="75"/>
        <v>3037801.66</v>
      </c>
      <c r="I260" s="169">
        <v>0</v>
      </c>
      <c r="J260" s="324">
        <f>3037801.66-O260</f>
        <v>2961856.62</v>
      </c>
      <c r="K260" s="169">
        <v>0</v>
      </c>
      <c r="L260" s="170">
        <v>0</v>
      </c>
      <c r="M260" s="169">
        <v>0</v>
      </c>
      <c r="N260" s="169">
        <v>0</v>
      </c>
      <c r="O260" s="169">
        <v>75945.039999999994</v>
      </c>
      <c r="P260" s="169">
        <v>0</v>
      </c>
      <c r="Q260" s="169">
        <v>0</v>
      </c>
      <c r="R260" s="169">
        <v>0</v>
      </c>
      <c r="S260" s="171">
        <f t="shared" si="78"/>
        <v>3037801.66</v>
      </c>
      <c r="T260" s="374">
        <v>2017</v>
      </c>
      <c r="U260" s="374">
        <v>2017</v>
      </c>
      <c r="V260" s="374">
        <f t="shared" si="76"/>
        <v>121</v>
      </c>
      <c r="W260" s="148" t="s">
        <v>141</v>
      </c>
      <c r="X260" s="149">
        <v>9</v>
      </c>
      <c r="Y260" s="150" t="s">
        <v>152</v>
      </c>
    </row>
    <row r="261" spans="1:25" s="23" customFormat="1" ht="18" customHeight="1" x14ac:dyDescent="0.25">
      <c r="A261" s="374">
        <f t="shared" si="77"/>
        <v>237</v>
      </c>
      <c r="B261" s="329" t="s">
        <v>167</v>
      </c>
      <c r="C261" s="191" t="s">
        <v>430</v>
      </c>
      <c r="D261" s="191"/>
      <c r="E261" s="191"/>
      <c r="F261" s="299">
        <v>1647.7</v>
      </c>
      <c r="G261" s="202">
        <v>1293.8</v>
      </c>
      <c r="H261" s="169">
        <f t="shared" si="75"/>
        <v>5449019.8300000001</v>
      </c>
      <c r="I261" s="169">
        <v>0</v>
      </c>
      <c r="J261" s="169">
        <v>0</v>
      </c>
      <c r="K261" s="170">
        <f>ROUND(4211.64*G261,2)-O261</f>
        <v>5364525.93</v>
      </c>
      <c r="L261" s="169">
        <v>0</v>
      </c>
      <c r="M261" s="169">
        <v>0</v>
      </c>
      <c r="N261" s="169">
        <v>0</v>
      </c>
      <c r="O261" s="169">
        <v>84493.9</v>
      </c>
      <c r="P261" s="169">
        <v>0</v>
      </c>
      <c r="Q261" s="169">
        <v>0</v>
      </c>
      <c r="R261" s="169">
        <v>0</v>
      </c>
      <c r="S261" s="171">
        <f t="shared" si="78"/>
        <v>5449019.8300000001</v>
      </c>
      <c r="T261" s="374">
        <v>2017</v>
      </c>
      <c r="U261" s="374">
        <v>2017</v>
      </c>
      <c r="V261" s="374">
        <f t="shared" si="76"/>
        <v>122</v>
      </c>
      <c r="W261" s="148" t="s">
        <v>142</v>
      </c>
      <c r="X261" s="149">
        <v>2</v>
      </c>
      <c r="Y261" s="150" t="s">
        <v>153</v>
      </c>
    </row>
    <row r="262" spans="1:25" s="23" customFormat="1" ht="18" customHeight="1" x14ac:dyDescent="0.25">
      <c r="A262" s="374">
        <f t="shared" si="77"/>
        <v>238</v>
      </c>
      <c r="B262" s="329" t="s">
        <v>219</v>
      </c>
      <c r="C262" s="176">
        <v>1099.9000000000001</v>
      </c>
      <c r="D262" s="176"/>
      <c r="E262" s="176"/>
      <c r="F262" s="299">
        <v>1099.9000000000001</v>
      </c>
      <c r="G262" s="202">
        <v>977.5</v>
      </c>
      <c r="H262" s="169">
        <f t="shared" si="75"/>
        <v>1836644.3</v>
      </c>
      <c r="I262" s="170">
        <f>ROUND((332.83+748.38+197.29+298.86+301.56)*G262,2)-O262</f>
        <v>1731388.3</v>
      </c>
      <c r="J262" s="169">
        <v>0</v>
      </c>
      <c r="K262" s="169">
        <v>0</v>
      </c>
      <c r="L262" s="170">
        <v>0</v>
      </c>
      <c r="M262" s="169">
        <v>0</v>
      </c>
      <c r="N262" s="169">
        <v>0</v>
      </c>
      <c r="O262" s="169">
        <v>105256</v>
      </c>
      <c r="P262" s="169">
        <v>0</v>
      </c>
      <c r="Q262" s="169">
        <v>0</v>
      </c>
      <c r="R262" s="169">
        <v>0</v>
      </c>
      <c r="S262" s="171">
        <f t="shared" si="78"/>
        <v>1836644.3</v>
      </c>
      <c r="T262" s="374">
        <v>2017</v>
      </c>
      <c r="U262" s="374">
        <v>2017</v>
      </c>
      <c r="V262" s="374">
        <f t="shared" si="76"/>
        <v>123</v>
      </c>
      <c r="W262" s="148" t="s">
        <v>142</v>
      </c>
      <c r="X262" s="149">
        <v>2</v>
      </c>
      <c r="Y262" s="150" t="s">
        <v>153</v>
      </c>
    </row>
    <row r="263" spans="1:25" s="23" customFormat="1" ht="18" customHeight="1" x14ac:dyDescent="0.25">
      <c r="A263" s="374">
        <f t="shared" si="77"/>
        <v>239</v>
      </c>
      <c r="B263" s="329" t="s">
        <v>184</v>
      </c>
      <c r="C263" s="191" t="s">
        <v>63</v>
      </c>
      <c r="D263" s="191"/>
      <c r="E263" s="191"/>
      <c r="F263" s="299">
        <v>1644.3</v>
      </c>
      <c r="G263" s="202">
        <v>1272.8</v>
      </c>
      <c r="H263" s="169">
        <f t="shared" si="75"/>
        <v>486031.41</v>
      </c>
      <c r="I263" s="169">
        <f>ROUND(381.86*G263,2)-O263</f>
        <v>456869.52999999997</v>
      </c>
      <c r="J263" s="169">
        <v>0</v>
      </c>
      <c r="K263" s="169">
        <v>0</v>
      </c>
      <c r="L263" s="169">
        <v>0</v>
      </c>
      <c r="M263" s="169">
        <v>0</v>
      </c>
      <c r="N263" s="169">
        <v>0</v>
      </c>
      <c r="O263" s="169">
        <v>29161.88</v>
      </c>
      <c r="P263" s="169">
        <v>0</v>
      </c>
      <c r="Q263" s="169">
        <v>0</v>
      </c>
      <c r="R263" s="169">
        <v>0</v>
      </c>
      <c r="S263" s="171">
        <f t="shared" si="78"/>
        <v>486031.41</v>
      </c>
      <c r="T263" s="374">
        <v>2017</v>
      </c>
      <c r="U263" s="374">
        <v>2017</v>
      </c>
      <c r="V263" s="374">
        <f t="shared" si="76"/>
        <v>124</v>
      </c>
      <c r="W263" s="148" t="s">
        <v>142</v>
      </c>
      <c r="X263" s="149">
        <v>5</v>
      </c>
      <c r="Y263" s="150" t="s">
        <v>153</v>
      </c>
    </row>
    <row r="264" spans="1:25" s="23" customFormat="1" ht="18" customHeight="1" x14ac:dyDescent="0.25">
      <c r="A264" s="374">
        <f t="shared" si="77"/>
        <v>240</v>
      </c>
      <c r="B264" s="163" t="s">
        <v>49</v>
      </c>
      <c r="C264" s="176" t="s">
        <v>73</v>
      </c>
      <c r="D264" s="176"/>
      <c r="E264" s="176"/>
      <c r="F264" s="299">
        <v>1082.7</v>
      </c>
      <c r="G264" s="202">
        <v>551.6</v>
      </c>
      <c r="H264" s="169">
        <f t="shared" si="75"/>
        <v>3022701.81</v>
      </c>
      <c r="I264" s="169">
        <v>0</v>
      </c>
      <c r="J264" s="169">
        <v>0</v>
      </c>
      <c r="K264" s="305">
        <f>ROUND(551.6*3980.76,2)</f>
        <v>2195787.2200000002</v>
      </c>
      <c r="L264" s="170">
        <v>0</v>
      </c>
      <c r="M264" s="305">
        <f>ROUND(551.6*1346.77,2)-42129.22</f>
        <v>700749.11</v>
      </c>
      <c r="N264" s="170">
        <f>ROUND(152.35*G264,2)-5042.18</f>
        <v>78994.079999999987</v>
      </c>
      <c r="O264" s="169">
        <f>5042.18+42129.22</f>
        <v>47171.4</v>
      </c>
      <c r="P264" s="169">
        <v>0</v>
      </c>
      <c r="Q264" s="169">
        <v>0</v>
      </c>
      <c r="R264" s="169">
        <v>0</v>
      </c>
      <c r="S264" s="171">
        <f t="shared" si="78"/>
        <v>3022701.81</v>
      </c>
      <c r="T264" s="374">
        <v>2016</v>
      </c>
      <c r="U264" s="374">
        <v>2017</v>
      </c>
      <c r="V264" s="374">
        <f t="shared" si="76"/>
        <v>125</v>
      </c>
      <c r="W264" s="218" t="s">
        <v>142</v>
      </c>
      <c r="X264" s="219">
        <v>2</v>
      </c>
      <c r="Y264" s="402" t="s">
        <v>153</v>
      </c>
    </row>
    <row r="265" spans="1:25" s="23" customFormat="1" ht="18" customHeight="1" x14ac:dyDescent="0.25">
      <c r="A265" s="374">
        <f t="shared" si="77"/>
        <v>241</v>
      </c>
      <c r="B265" s="329" t="s">
        <v>389</v>
      </c>
      <c r="C265" s="191" t="s">
        <v>71</v>
      </c>
      <c r="D265" s="191"/>
      <c r="E265" s="191"/>
      <c r="F265" s="299">
        <v>1563.6</v>
      </c>
      <c r="G265" s="202">
        <v>1548</v>
      </c>
      <c r="H265" s="169">
        <f t="shared" si="75"/>
        <v>4024691.6399999997</v>
      </c>
      <c r="I265" s="169">
        <f>ROUND((191.67+290.35+292.97)*G265,2)-36786.28</f>
        <v>1162898.24</v>
      </c>
      <c r="J265" s="169">
        <v>0</v>
      </c>
      <c r="K265" s="170">
        <f>ROUND(1824.94*G265,2)-86624.02</f>
        <v>2738383.1</v>
      </c>
      <c r="L265" s="169">
        <v>0</v>
      </c>
      <c r="M265" s="169">
        <v>0</v>
      </c>
      <c r="N265" s="169">
        <v>0</v>
      </c>
      <c r="O265" s="169">
        <v>123410.3</v>
      </c>
      <c r="P265" s="169">
        <v>0</v>
      </c>
      <c r="Q265" s="169">
        <v>0</v>
      </c>
      <c r="R265" s="169">
        <v>0</v>
      </c>
      <c r="S265" s="171">
        <f t="shared" si="78"/>
        <v>4024691.6399999997</v>
      </c>
      <c r="T265" s="374">
        <v>2017</v>
      </c>
      <c r="U265" s="374">
        <v>2017</v>
      </c>
      <c r="V265" s="374">
        <f t="shared" si="76"/>
        <v>126</v>
      </c>
      <c r="W265" s="148" t="s">
        <v>142</v>
      </c>
      <c r="X265" s="149">
        <v>4</v>
      </c>
      <c r="Y265" s="150" t="s">
        <v>153</v>
      </c>
    </row>
    <row r="266" spans="1:25" s="23" customFormat="1" ht="18" customHeight="1" x14ac:dyDescent="0.25">
      <c r="A266" s="374">
        <f t="shared" si="77"/>
        <v>242</v>
      </c>
      <c r="B266" s="329" t="s">
        <v>426</v>
      </c>
      <c r="C266" s="176" t="s">
        <v>21</v>
      </c>
      <c r="D266" s="176"/>
      <c r="E266" s="176"/>
      <c r="F266" s="299">
        <v>3848.7</v>
      </c>
      <c r="G266" s="202">
        <v>3802.3</v>
      </c>
      <c r="H266" s="169">
        <f t="shared" si="75"/>
        <v>1523619.63</v>
      </c>
      <c r="I266" s="169">
        <f>ROUND(400.71*G266,2)-O266</f>
        <v>1433969.13</v>
      </c>
      <c r="J266" s="169">
        <v>0</v>
      </c>
      <c r="K266" s="169">
        <v>0</v>
      </c>
      <c r="L266" s="170">
        <v>0</v>
      </c>
      <c r="M266" s="169">
        <v>0</v>
      </c>
      <c r="N266" s="169">
        <v>0</v>
      </c>
      <c r="O266" s="169">
        <v>89650.5</v>
      </c>
      <c r="P266" s="169">
        <v>0</v>
      </c>
      <c r="Q266" s="169">
        <v>0</v>
      </c>
      <c r="R266" s="169">
        <v>0</v>
      </c>
      <c r="S266" s="171">
        <f t="shared" si="78"/>
        <v>1523619.63</v>
      </c>
      <c r="T266" s="374">
        <v>2017</v>
      </c>
      <c r="U266" s="374">
        <v>2017</v>
      </c>
      <c r="V266" s="374">
        <f t="shared" si="76"/>
        <v>127</v>
      </c>
      <c r="W266" s="148" t="s">
        <v>141</v>
      </c>
      <c r="X266" s="149">
        <v>9</v>
      </c>
      <c r="Y266" s="150" t="s">
        <v>152</v>
      </c>
    </row>
    <row r="267" spans="1:25" s="23" customFormat="1" ht="18" customHeight="1" x14ac:dyDescent="0.3">
      <c r="A267" s="374">
        <f t="shared" si="77"/>
        <v>243</v>
      </c>
      <c r="B267" s="329" t="s">
        <v>454</v>
      </c>
      <c r="C267" s="215">
        <v>1963</v>
      </c>
      <c r="D267" s="176"/>
      <c r="E267" s="176"/>
      <c r="F267" s="359">
        <v>1753.8</v>
      </c>
      <c r="G267" s="216">
        <v>1459.63</v>
      </c>
      <c r="H267" s="169">
        <f t="shared" si="75"/>
        <v>2663737.17</v>
      </c>
      <c r="I267" s="169">
        <v>0</v>
      </c>
      <c r="J267" s="169">
        <v>0</v>
      </c>
      <c r="K267" s="170">
        <f>ROUND(1824.94*G267,2)-O267</f>
        <v>2604655.75</v>
      </c>
      <c r="L267" s="169">
        <v>0</v>
      </c>
      <c r="M267" s="169">
        <v>0</v>
      </c>
      <c r="N267" s="169">
        <v>0</v>
      </c>
      <c r="O267" s="169">
        <v>59081.42</v>
      </c>
      <c r="P267" s="169">
        <v>0</v>
      </c>
      <c r="Q267" s="169">
        <v>0</v>
      </c>
      <c r="R267" s="169">
        <v>0</v>
      </c>
      <c r="S267" s="171">
        <f t="shared" si="78"/>
        <v>2663737.17</v>
      </c>
      <c r="T267" s="374">
        <v>2017</v>
      </c>
      <c r="U267" s="374">
        <v>2017</v>
      </c>
      <c r="V267" s="374">
        <f t="shared" si="76"/>
        <v>128</v>
      </c>
      <c r="W267" s="148" t="s">
        <v>142</v>
      </c>
      <c r="X267" s="149">
        <v>5</v>
      </c>
      <c r="Y267" s="150" t="s">
        <v>153</v>
      </c>
    </row>
    <row r="268" spans="1:25" s="23" customFormat="1" ht="18" customHeight="1" x14ac:dyDescent="0.25">
      <c r="A268" s="374">
        <f t="shared" si="77"/>
        <v>244</v>
      </c>
      <c r="B268" s="329" t="s">
        <v>156</v>
      </c>
      <c r="C268" s="191" t="s">
        <v>63</v>
      </c>
      <c r="D268" s="191"/>
      <c r="E268" s="191"/>
      <c r="F268" s="299">
        <v>3241.9</v>
      </c>
      <c r="G268" s="202">
        <v>2957.2</v>
      </c>
      <c r="H268" s="169">
        <f t="shared" si="75"/>
        <v>3123246.78</v>
      </c>
      <c r="I268" s="169">
        <v>0</v>
      </c>
      <c r="J268" s="334">
        <v>0</v>
      </c>
      <c r="K268" s="335">
        <f>ROUND(1056.15*G268,2)-O268</f>
        <v>3034998.1199999996</v>
      </c>
      <c r="L268" s="169">
        <v>0</v>
      </c>
      <c r="M268" s="169">
        <v>0</v>
      </c>
      <c r="N268" s="169">
        <v>0</v>
      </c>
      <c r="O268" s="169">
        <v>88248.66</v>
      </c>
      <c r="P268" s="169">
        <v>0</v>
      </c>
      <c r="Q268" s="169">
        <v>0</v>
      </c>
      <c r="R268" s="169">
        <v>0</v>
      </c>
      <c r="S268" s="171">
        <f t="shared" si="78"/>
        <v>3123246.78</v>
      </c>
      <c r="T268" s="374">
        <v>2017</v>
      </c>
      <c r="U268" s="374">
        <v>2017</v>
      </c>
      <c r="V268" s="374">
        <f t="shared" si="76"/>
        <v>129</v>
      </c>
      <c r="W268" s="148" t="s">
        <v>142</v>
      </c>
      <c r="X268" s="149">
        <v>5</v>
      </c>
      <c r="Y268" s="150" t="s">
        <v>152</v>
      </c>
    </row>
    <row r="269" spans="1:25" s="23" customFormat="1" ht="18" customHeight="1" x14ac:dyDescent="0.25">
      <c r="A269" s="374">
        <f t="shared" si="77"/>
        <v>245</v>
      </c>
      <c r="B269" s="329" t="s">
        <v>177</v>
      </c>
      <c r="C269" s="191" t="s">
        <v>63</v>
      </c>
      <c r="D269" s="191"/>
      <c r="E269" s="191"/>
      <c r="F269" s="299">
        <v>2997.6</v>
      </c>
      <c r="G269" s="202">
        <v>2380.1999999999998</v>
      </c>
      <c r="H269" s="169">
        <f t="shared" si="75"/>
        <v>1844631.2</v>
      </c>
      <c r="I269" s="169">
        <f>ROUND((191.67+290.35+292.97)*G269,2)-O269</f>
        <v>1740523.3399999999</v>
      </c>
      <c r="J269" s="169">
        <v>0</v>
      </c>
      <c r="K269" s="169">
        <v>0</v>
      </c>
      <c r="L269" s="169">
        <v>0</v>
      </c>
      <c r="M269" s="169">
        <v>0</v>
      </c>
      <c r="N269" s="169">
        <v>0</v>
      </c>
      <c r="O269" s="169">
        <v>104107.86</v>
      </c>
      <c r="P269" s="169">
        <v>0</v>
      </c>
      <c r="Q269" s="169">
        <v>0</v>
      </c>
      <c r="R269" s="169">
        <v>0</v>
      </c>
      <c r="S269" s="171">
        <f t="shared" si="78"/>
        <v>1844631.2</v>
      </c>
      <c r="T269" s="374">
        <v>2017</v>
      </c>
      <c r="U269" s="374">
        <v>2017</v>
      </c>
      <c r="V269" s="374">
        <f t="shared" si="76"/>
        <v>130</v>
      </c>
      <c r="W269" s="148" t="s">
        <v>142</v>
      </c>
      <c r="X269" s="149">
        <v>5</v>
      </c>
      <c r="Y269" s="150" t="s">
        <v>153</v>
      </c>
    </row>
    <row r="270" spans="1:25" s="23" customFormat="1" ht="18" customHeight="1" x14ac:dyDescent="0.25">
      <c r="A270" s="374">
        <f t="shared" si="77"/>
        <v>246</v>
      </c>
      <c r="B270" s="329" t="s">
        <v>178</v>
      </c>
      <c r="C270" s="176" t="s">
        <v>63</v>
      </c>
      <c r="D270" s="176"/>
      <c r="E270" s="176"/>
      <c r="F270" s="299">
        <v>3185.6</v>
      </c>
      <c r="G270" s="202">
        <v>2786.3</v>
      </c>
      <c r="H270" s="169">
        <f t="shared" ref="H270:H276" si="79">I270+J270+K270+L270+M270+N270+O270</f>
        <v>2159354.64</v>
      </c>
      <c r="I270" s="169">
        <f>ROUND((191.67+290.35+292.97)*G270,2)-O270</f>
        <v>2050253.02</v>
      </c>
      <c r="J270" s="169">
        <v>0</v>
      </c>
      <c r="K270" s="169">
        <v>0</v>
      </c>
      <c r="L270" s="169">
        <v>0</v>
      </c>
      <c r="M270" s="169">
        <v>0</v>
      </c>
      <c r="N270" s="169">
        <v>0</v>
      </c>
      <c r="O270" s="169">
        <v>109101.62</v>
      </c>
      <c r="P270" s="169">
        <v>0</v>
      </c>
      <c r="Q270" s="169">
        <v>0</v>
      </c>
      <c r="R270" s="169">
        <v>0</v>
      </c>
      <c r="S270" s="171">
        <f t="shared" si="78"/>
        <v>2159354.64</v>
      </c>
      <c r="T270" s="374">
        <v>2017</v>
      </c>
      <c r="U270" s="374">
        <v>2017</v>
      </c>
      <c r="V270" s="374">
        <f t="shared" ref="V270:V339" si="80">V269+1</f>
        <v>131</v>
      </c>
      <c r="W270" s="148" t="s">
        <v>142</v>
      </c>
      <c r="X270" s="149">
        <v>5</v>
      </c>
      <c r="Y270" s="150" t="s">
        <v>152</v>
      </c>
    </row>
    <row r="271" spans="1:25" s="23" customFormat="1" ht="18" customHeight="1" x14ac:dyDescent="0.25">
      <c r="A271" s="374">
        <f t="shared" si="77"/>
        <v>247</v>
      </c>
      <c r="B271" s="271" t="s">
        <v>400</v>
      </c>
      <c r="C271" s="176" t="s">
        <v>63</v>
      </c>
      <c r="D271" s="176"/>
      <c r="E271" s="176"/>
      <c r="F271" s="299">
        <v>2950.3</v>
      </c>
      <c r="G271" s="202">
        <v>2936</v>
      </c>
      <c r="H271" s="169">
        <f t="shared" si="79"/>
        <v>6461871.7599999988</v>
      </c>
      <c r="I271" s="169">
        <v>0</v>
      </c>
      <c r="J271" s="334">
        <v>0</v>
      </c>
      <c r="K271" s="335">
        <f>ROUND(1056.15*G271,2)-85714.39</f>
        <v>3015142.01</v>
      </c>
      <c r="L271" s="336">
        <v>0</v>
      </c>
      <c r="M271" s="170">
        <f>ROUND(1144.76*G271,2)-92905.75</f>
        <v>3268109.61</v>
      </c>
      <c r="N271" s="169">
        <v>0</v>
      </c>
      <c r="O271" s="169">
        <v>178620.14</v>
      </c>
      <c r="P271" s="169">
        <v>0</v>
      </c>
      <c r="Q271" s="169">
        <v>0</v>
      </c>
      <c r="R271" s="169">
        <v>0</v>
      </c>
      <c r="S271" s="171">
        <f t="shared" si="78"/>
        <v>6461871.7599999988</v>
      </c>
      <c r="T271" s="374">
        <v>2017</v>
      </c>
      <c r="U271" s="374">
        <v>2017</v>
      </c>
      <c r="V271" s="374">
        <f t="shared" si="80"/>
        <v>132</v>
      </c>
      <c r="W271" s="148" t="s">
        <v>142</v>
      </c>
      <c r="X271" s="149">
        <v>5</v>
      </c>
      <c r="Y271" s="150" t="s">
        <v>152</v>
      </c>
    </row>
    <row r="272" spans="1:25" s="23" customFormat="1" ht="18" customHeight="1" x14ac:dyDescent="0.25">
      <c r="A272" s="374">
        <f t="shared" si="77"/>
        <v>248</v>
      </c>
      <c r="B272" s="65" t="s">
        <v>399</v>
      </c>
      <c r="C272" s="191" t="s">
        <v>62</v>
      </c>
      <c r="D272" s="191"/>
      <c r="E272" s="191"/>
      <c r="F272" s="299">
        <v>3280</v>
      </c>
      <c r="G272" s="202">
        <v>3234.3</v>
      </c>
      <c r="H272" s="169">
        <f t="shared" si="79"/>
        <v>5902403.4400000004</v>
      </c>
      <c r="I272" s="169">
        <v>0</v>
      </c>
      <c r="J272" s="334">
        <v>0</v>
      </c>
      <c r="K272" s="170">
        <f>ROUND(1824.94*G272,2)-O272</f>
        <v>5809961.0600000005</v>
      </c>
      <c r="L272" s="169">
        <v>0</v>
      </c>
      <c r="M272" s="169">
        <v>0</v>
      </c>
      <c r="N272" s="169">
        <v>0</v>
      </c>
      <c r="O272" s="169">
        <v>92442.38</v>
      </c>
      <c r="P272" s="169">
        <v>0</v>
      </c>
      <c r="Q272" s="169">
        <v>0</v>
      </c>
      <c r="R272" s="169">
        <v>0</v>
      </c>
      <c r="S272" s="171">
        <f t="shared" si="78"/>
        <v>5902403.4400000004</v>
      </c>
      <c r="T272" s="374">
        <v>2017</v>
      </c>
      <c r="U272" s="374">
        <v>2017</v>
      </c>
      <c r="V272" s="374">
        <f t="shared" si="80"/>
        <v>133</v>
      </c>
      <c r="W272" s="148" t="s">
        <v>142</v>
      </c>
      <c r="X272" s="149">
        <v>5</v>
      </c>
      <c r="Y272" s="150" t="s">
        <v>153</v>
      </c>
    </row>
    <row r="273" spans="1:25" s="23" customFormat="1" ht="18" customHeight="1" x14ac:dyDescent="0.25">
      <c r="A273" s="374">
        <f t="shared" si="77"/>
        <v>249</v>
      </c>
      <c r="B273" s="65" t="s">
        <v>124</v>
      </c>
      <c r="C273" s="191">
        <v>1984</v>
      </c>
      <c r="D273" s="191"/>
      <c r="E273" s="191"/>
      <c r="F273" s="299">
        <v>3410.2</v>
      </c>
      <c r="G273" s="202">
        <v>3394</v>
      </c>
      <c r="H273" s="169">
        <f t="shared" si="79"/>
        <v>3639895.3</v>
      </c>
      <c r="I273" s="169">
        <v>0</v>
      </c>
      <c r="J273" s="169">
        <v>0</v>
      </c>
      <c r="K273" s="37">
        <f>ROUND(1072.45*G273,2)-O273</f>
        <v>3543628.54</v>
      </c>
      <c r="L273" s="336">
        <v>0</v>
      </c>
      <c r="M273" s="169">
        <v>0</v>
      </c>
      <c r="N273" s="169">
        <v>0</v>
      </c>
      <c r="O273" s="169">
        <v>96266.76</v>
      </c>
      <c r="P273" s="169">
        <v>0</v>
      </c>
      <c r="Q273" s="169">
        <v>0</v>
      </c>
      <c r="R273" s="169">
        <v>0</v>
      </c>
      <c r="S273" s="171">
        <f t="shared" si="78"/>
        <v>3639895.3</v>
      </c>
      <c r="T273" s="374">
        <v>2017</v>
      </c>
      <c r="U273" s="374">
        <v>2017</v>
      </c>
      <c r="V273" s="374">
        <f t="shared" si="80"/>
        <v>134</v>
      </c>
      <c r="W273" s="148" t="s">
        <v>141</v>
      </c>
      <c r="X273" s="149">
        <v>5</v>
      </c>
      <c r="Y273" s="150" t="s">
        <v>152</v>
      </c>
    </row>
    <row r="274" spans="1:25" s="23" customFormat="1" ht="18" customHeight="1" x14ac:dyDescent="0.25">
      <c r="A274" s="374">
        <f t="shared" si="77"/>
        <v>250</v>
      </c>
      <c r="B274" s="65" t="s">
        <v>125</v>
      </c>
      <c r="C274" s="191">
        <v>1985</v>
      </c>
      <c r="D274" s="191"/>
      <c r="E274" s="191"/>
      <c r="F274" s="299">
        <v>3418.1</v>
      </c>
      <c r="G274" s="202">
        <v>3372.6</v>
      </c>
      <c r="H274" s="169">
        <f t="shared" si="79"/>
        <v>3616944.87</v>
      </c>
      <c r="I274" s="169">
        <v>0</v>
      </c>
      <c r="J274" s="334">
        <v>0</v>
      </c>
      <c r="K274" s="327">
        <f>ROUND(1072.45*G274,2)-O274</f>
        <v>3520012.5900000003</v>
      </c>
      <c r="L274" s="169">
        <v>0</v>
      </c>
      <c r="M274" s="169">
        <v>0</v>
      </c>
      <c r="N274" s="169">
        <v>0</v>
      </c>
      <c r="O274" s="169">
        <v>96932.28</v>
      </c>
      <c r="P274" s="169">
        <v>0</v>
      </c>
      <c r="Q274" s="169">
        <v>0</v>
      </c>
      <c r="R274" s="169">
        <v>0</v>
      </c>
      <c r="S274" s="171">
        <f t="shared" si="78"/>
        <v>3616944.87</v>
      </c>
      <c r="T274" s="374">
        <v>2017</v>
      </c>
      <c r="U274" s="374">
        <v>2017</v>
      </c>
      <c r="V274" s="374">
        <f t="shared" si="80"/>
        <v>135</v>
      </c>
      <c r="W274" s="148" t="s">
        <v>141</v>
      </c>
      <c r="X274" s="149">
        <v>5</v>
      </c>
      <c r="Y274" s="150" t="s">
        <v>152</v>
      </c>
    </row>
    <row r="275" spans="1:25" s="23" customFormat="1" ht="18" customHeight="1" x14ac:dyDescent="0.25">
      <c r="A275" s="374">
        <f t="shared" si="77"/>
        <v>251</v>
      </c>
      <c r="B275" s="410" t="s">
        <v>248</v>
      </c>
      <c r="C275" s="176" t="s">
        <v>434</v>
      </c>
      <c r="D275" s="411"/>
      <c r="E275" s="411" t="s">
        <v>464</v>
      </c>
      <c r="F275" s="360">
        <v>4737.3</v>
      </c>
      <c r="G275" s="32">
        <v>4068.1</v>
      </c>
      <c r="H275" s="337">
        <f t="shared" si="79"/>
        <v>3037801.66</v>
      </c>
      <c r="I275" s="169">
        <v>0</v>
      </c>
      <c r="J275" s="324">
        <f>3037801.66-O275</f>
        <v>2961856.62</v>
      </c>
      <c r="K275" s="169">
        <v>0</v>
      </c>
      <c r="L275" s="170">
        <v>0</v>
      </c>
      <c r="M275" s="169">
        <v>0</v>
      </c>
      <c r="N275" s="169">
        <v>0</v>
      </c>
      <c r="O275" s="169">
        <v>75945.039999999994</v>
      </c>
      <c r="P275" s="169">
        <v>0</v>
      </c>
      <c r="Q275" s="169">
        <v>0</v>
      </c>
      <c r="R275" s="169">
        <v>0</v>
      </c>
      <c r="S275" s="171">
        <f t="shared" si="78"/>
        <v>3037801.66</v>
      </c>
      <c r="T275" s="374">
        <v>2017</v>
      </c>
      <c r="U275" s="374">
        <v>2017</v>
      </c>
      <c r="V275" s="374">
        <f t="shared" si="80"/>
        <v>136</v>
      </c>
      <c r="W275" s="148" t="str">
        <f>[3]Реестр!$AV$3245</f>
        <v>панельные</v>
      </c>
      <c r="X275" s="149">
        <f>[3]Реестр!$AI$3245</f>
        <v>9</v>
      </c>
      <c r="Y275" s="150" t="str">
        <f>[3]Реестр!$AX$3245</f>
        <v>плоская</v>
      </c>
    </row>
    <row r="276" spans="1:25" s="23" customFormat="1" ht="18" customHeight="1" x14ac:dyDescent="0.25">
      <c r="A276" s="374">
        <f t="shared" si="77"/>
        <v>252</v>
      </c>
      <c r="B276" s="34" t="s">
        <v>484</v>
      </c>
      <c r="C276" s="376" t="s">
        <v>429</v>
      </c>
      <c r="D276" s="374"/>
      <c r="E276" s="374"/>
      <c r="F276" s="361">
        <v>4073.6</v>
      </c>
      <c r="G276" s="32">
        <v>3589.6</v>
      </c>
      <c r="H276" s="169">
        <f t="shared" si="79"/>
        <v>9500989.1799999997</v>
      </c>
      <c r="I276" s="169">
        <f>ROUND((191.67+290.35+292.97+727.06)*G276,2)-255384.6</f>
        <v>5136374.08</v>
      </c>
      <c r="J276" s="169">
        <v>0</v>
      </c>
      <c r="K276" s="169">
        <v>0</v>
      </c>
      <c r="L276" s="170">
        <v>0</v>
      </c>
      <c r="M276" s="170">
        <f>ROUND(1144.76*G276,2)-194636.72</f>
        <v>3914593.78</v>
      </c>
      <c r="N276" s="169">
        <v>0</v>
      </c>
      <c r="O276" s="169">
        <v>450021.32</v>
      </c>
      <c r="P276" s="169">
        <v>0</v>
      </c>
      <c r="Q276" s="169">
        <v>0</v>
      </c>
      <c r="R276" s="169">
        <v>0</v>
      </c>
      <c r="S276" s="171">
        <f t="shared" si="78"/>
        <v>9500989.1799999997</v>
      </c>
      <c r="T276" s="374">
        <v>2017</v>
      </c>
      <c r="U276" s="374">
        <v>2017</v>
      </c>
      <c r="V276" s="374">
        <f t="shared" si="80"/>
        <v>137</v>
      </c>
      <c r="W276" s="148" t="s">
        <v>142</v>
      </c>
      <c r="X276" s="149">
        <v>5</v>
      </c>
      <c r="Y276" s="150" t="s">
        <v>152</v>
      </c>
    </row>
    <row r="277" spans="1:25" ht="18" customHeight="1" x14ac:dyDescent="0.25">
      <c r="A277" s="417" t="s">
        <v>257</v>
      </c>
      <c r="B277" s="423"/>
      <c r="C277" s="46"/>
      <c r="D277" s="46"/>
      <c r="E277" s="176"/>
      <c r="F277" s="64">
        <f>SUM(F88:F276)</f>
        <v>654720.69999999972</v>
      </c>
      <c r="G277" s="64">
        <f t="shared" ref="G277:H277" si="81">SUM(G88:G276)</f>
        <v>557280.64</v>
      </c>
      <c r="H277" s="45">
        <f t="shared" si="81"/>
        <v>831267281.88999963</v>
      </c>
      <c r="I277" s="45">
        <f t="shared" ref="I277" si="82">SUM(I88:I276)</f>
        <v>160544696.53800005</v>
      </c>
      <c r="J277" s="45">
        <f t="shared" ref="J277" si="83">SUM(J88:J276)</f>
        <v>89191807.810000002</v>
      </c>
      <c r="K277" s="45">
        <f t="shared" ref="K277" si="84">SUM(K88:K276)</f>
        <v>269831085.28399998</v>
      </c>
      <c r="L277" s="45">
        <f t="shared" ref="L277" si="85">SUM(L88:L276)</f>
        <v>0</v>
      </c>
      <c r="M277" s="45">
        <f t="shared" ref="M277" si="86">SUM(M88:M276)</f>
        <v>291179408.588</v>
      </c>
      <c r="N277" s="45">
        <f t="shared" ref="N277" si="87">SUM(N88:N276)</f>
        <v>341102.88</v>
      </c>
      <c r="O277" s="45">
        <f t="shared" ref="O277" si="88">SUM(O88:O276)</f>
        <v>20179180.789999988</v>
      </c>
      <c r="P277" s="45">
        <f t="shared" ref="P277" si="89">SUM(P88:P276)</f>
        <v>0</v>
      </c>
      <c r="Q277" s="45">
        <f t="shared" ref="Q277" si="90">SUM(Q88:Q276)</f>
        <v>0</v>
      </c>
      <c r="R277" s="45">
        <f t="shared" ref="R277" si="91">SUM(R88:R276)</f>
        <v>0</v>
      </c>
      <c r="S277" s="45">
        <f t="shared" ref="S277" si="92">SUM(S88:S276)</f>
        <v>831267281.88999963</v>
      </c>
      <c r="T277" s="21" t="s">
        <v>112</v>
      </c>
      <c r="U277" s="21" t="s">
        <v>112</v>
      </c>
      <c r="V277" s="374"/>
      <c r="Y277" s="60">
        <f>S277-'[2]2017'!$S$200</f>
        <v>365324093.5399996</v>
      </c>
    </row>
    <row r="278" spans="1:25" ht="18" customHeight="1" x14ac:dyDescent="0.25">
      <c r="A278" s="419" t="s">
        <v>50</v>
      </c>
      <c r="B278" s="420"/>
      <c r="C278" s="420"/>
      <c r="D278" s="420"/>
      <c r="E278" s="421"/>
      <c r="F278" s="420"/>
      <c r="G278" s="420"/>
      <c r="H278" s="420"/>
      <c r="I278" s="420"/>
      <c r="J278" s="420"/>
      <c r="K278" s="420"/>
      <c r="L278" s="420"/>
      <c r="M278" s="420"/>
      <c r="N278" s="420"/>
      <c r="O278" s="420"/>
      <c r="P278" s="420"/>
      <c r="Q278" s="420"/>
      <c r="R278" s="420"/>
      <c r="S278" s="422"/>
      <c r="T278" s="35"/>
      <c r="U278" s="35"/>
      <c r="V278" s="374"/>
    </row>
    <row r="279" spans="1:25" s="111" customFormat="1" ht="18" customHeight="1" x14ac:dyDescent="0.25">
      <c r="A279" s="374">
        <f>A276+1</f>
        <v>253</v>
      </c>
      <c r="B279" s="388" t="s">
        <v>593</v>
      </c>
      <c r="C279" s="389">
        <v>1957</v>
      </c>
      <c r="D279" s="223"/>
      <c r="E279" s="223"/>
      <c r="F279" s="173">
        <v>1220.0999999999999</v>
      </c>
      <c r="G279" s="390">
        <v>1114</v>
      </c>
      <c r="H279" s="305">
        <f t="shared" ref="H279:H284" si="93">I279+J279+K279+L279+M279+N279+O279</f>
        <v>1830056.92</v>
      </c>
      <c r="I279" s="69">
        <v>0</v>
      </c>
      <c r="J279" s="69">
        <v>0</v>
      </c>
      <c r="K279" s="69">
        <v>0</v>
      </c>
      <c r="L279" s="391">
        <f>G279*280.39</f>
        <v>312354.45999999996</v>
      </c>
      <c r="M279" s="391">
        <f>G279*1082</f>
        <v>1205348</v>
      </c>
      <c r="N279" s="391">
        <f>G279*280.39</f>
        <v>312354.45999999996</v>
      </c>
      <c r="O279" s="69">
        <v>0</v>
      </c>
      <c r="P279" s="69">
        <v>0</v>
      </c>
      <c r="Q279" s="69">
        <v>0</v>
      </c>
      <c r="R279" s="69">
        <v>0</v>
      </c>
      <c r="S279" s="305">
        <f t="shared" ref="S279:S284" si="94">H279</f>
        <v>1830056.92</v>
      </c>
      <c r="T279" s="374">
        <v>2016</v>
      </c>
      <c r="U279" s="374">
        <v>2017</v>
      </c>
      <c r="V279" s="381">
        <v>1</v>
      </c>
    </row>
    <row r="280" spans="1:25" s="111" customFormat="1" ht="18" customHeight="1" x14ac:dyDescent="0.25">
      <c r="A280" s="374">
        <f t="shared" ref="A280:A292" si="95">A279+1</f>
        <v>254</v>
      </c>
      <c r="B280" s="388" t="s">
        <v>594</v>
      </c>
      <c r="C280" s="389">
        <v>1957</v>
      </c>
      <c r="D280" s="223"/>
      <c r="E280" s="223"/>
      <c r="F280" s="173">
        <v>1585.1</v>
      </c>
      <c r="G280" s="390">
        <v>1451.2</v>
      </c>
      <c r="H280" s="305">
        <f t="shared" si="93"/>
        <v>2384002.3360000001</v>
      </c>
      <c r="I280" s="69">
        <v>0</v>
      </c>
      <c r="J280" s="69">
        <v>0</v>
      </c>
      <c r="K280" s="69">
        <v>0</v>
      </c>
      <c r="L280" s="391">
        <f>G280*280.39</f>
        <v>406901.96799999999</v>
      </c>
      <c r="M280" s="391">
        <f>G280*1082</f>
        <v>1570198.4000000001</v>
      </c>
      <c r="N280" s="392">
        <f>G280*280.39</f>
        <v>406901.96799999999</v>
      </c>
      <c r="O280" s="69">
        <v>0</v>
      </c>
      <c r="P280" s="69">
        <v>0</v>
      </c>
      <c r="Q280" s="69">
        <v>0</v>
      </c>
      <c r="R280" s="69">
        <v>0</v>
      </c>
      <c r="S280" s="305">
        <f t="shared" si="94"/>
        <v>2384002.3360000001</v>
      </c>
      <c r="T280" s="374">
        <v>2016</v>
      </c>
      <c r="U280" s="374">
        <v>2017</v>
      </c>
      <c r="V280" s="381">
        <f>V279+1</f>
        <v>2</v>
      </c>
    </row>
    <row r="281" spans="1:25" s="111" customFormat="1" ht="18" customHeight="1" x14ac:dyDescent="0.25">
      <c r="A281" s="374">
        <f t="shared" si="95"/>
        <v>255</v>
      </c>
      <c r="B281" s="65" t="s">
        <v>595</v>
      </c>
      <c r="C281" s="352">
        <v>1955</v>
      </c>
      <c r="D281" s="223"/>
      <c r="E281" s="223"/>
      <c r="F281" s="224">
        <v>1201.7</v>
      </c>
      <c r="G281" s="393">
        <v>1093.7</v>
      </c>
      <c r="H281" s="305">
        <f t="shared" si="93"/>
        <v>3779788.2660000003</v>
      </c>
      <c r="I281" s="69">
        <v>649951.68000000005</v>
      </c>
      <c r="J281" s="69">
        <v>0</v>
      </c>
      <c r="K281" s="69">
        <v>1333128.1000000001</v>
      </c>
      <c r="L281" s="69">
        <f>G281*280.39</f>
        <v>306662.54300000001</v>
      </c>
      <c r="M281" s="69">
        <f>G281*1082</f>
        <v>1183383.4000000001</v>
      </c>
      <c r="N281" s="69">
        <f>G281*280.39</f>
        <v>306662.54300000001</v>
      </c>
      <c r="O281" s="69">
        <v>0</v>
      </c>
      <c r="P281" s="69">
        <v>0</v>
      </c>
      <c r="Q281" s="69">
        <v>0</v>
      </c>
      <c r="R281" s="69">
        <v>0</v>
      </c>
      <c r="S281" s="305">
        <f t="shared" si="94"/>
        <v>3779788.2660000003</v>
      </c>
      <c r="T281" s="374">
        <v>2016</v>
      </c>
      <c r="U281" s="374">
        <v>2017</v>
      </c>
      <c r="V281" s="381">
        <f t="shared" ref="V281:V284" si="96">V280+1</f>
        <v>3</v>
      </c>
    </row>
    <row r="282" spans="1:25" s="111" customFormat="1" ht="18" customHeight="1" x14ac:dyDescent="0.25">
      <c r="A282" s="374">
        <f t="shared" si="95"/>
        <v>256</v>
      </c>
      <c r="B282" s="388" t="s">
        <v>618</v>
      </c>
      <c r="C282" s="389">
        <v>1956</v>
      </c>
      <c r="D282" s="223"/>
      <c r="E282" s="223"/>
      <c r="F282" s="173">
        <v>994.5</v>
      </c>
      <c r="G282" s="126">
        <v>883</v>
      </c>
      <c r="H282" s="305">
        <f t="shared" si="93"/>
        <v>4768606.18</v>
      </c>
      <c r="I282" s="395">
        <f>G282*(181.16+274.43+276.91+687.2)</f>
        <v>1253595.1000000001</v>
      </c>
      <c r="J282" s="69">
        <v>0</v>
      </c>
      <c r="K282" s="391">
        <f>G282*3980.76</f>
        <v>3515011.08</v>
      </c>
      <c r="L282" s="69">
        <v>0</v>
      </c>
      <c r="M282" s="69">
        <v>0</v>
      </c>
      <c r="N282" s="69">
        <v>0</v>
      </c>
      <c r="O282" s="69">
        <v>0</v>
      </c>
      <c r="P282" s="69">
        <v>0</v>
      </c>
      <c r="Q282" s="69">
        <v>0</v>
      </c>
      <c r="R282" s="69">
        <v>0</v>
      </c>
      <c r="S282" s="305">
        <f t="shared" si="94"/>
        <v>4768606.18</v>
      </c>
      <c r="T282" s="374">
        <v>2016</v>
      </c>
      <c r="U282" s="374">
        <v>2017</v>
      </c>
      <c r="V282" s="381">
        <f t="shared" si="96"/>
        <v>4</v>
      </c>
    </row>
    <row r="283" spans="1:25" s="111" customFormat="1" ht="18" customHeight="1" x14ac:dyDescent="0.25">
      <c r="A283" s="374">
        <f t="shared" si="95"/>
        <v>257</v>
      </c>
      <c r="B283" s="388" t="s">
        <v>596</v>
      </c>
      <c r="C283" s="394">
        <v>1958</v>
      </c>
      <c r="D283" s="223"/>
      <c r="E283" s="223"/>
      <c r="F283" s="173">
        <v>1292.8</v>
      </c>
      <c r="G283" s="390">
        <v>1102.2</v>
      </c>
      <c r="H283" s="305">
        <f t="shared" si="93"/>
        <v>3086931.54</v>
      </c>
      <c r="I283" s="395">
        <v>1328691.08</v>
      </c>
      <c r="J283" s="69">
        <v>0</v>
      </c>
      <c r="K283" s="391">
        <v>1758240.46</v>
      </c>
      <c r="L283" s="69">
        <v>0</v>
      </c>
      <c r="M283" s="69">
        <v>0</v>
      </c>
      <c r="N283" s="69">
        <v>0</v>
      </c>
      <c r="O283" s="69">
        <v>0</v>
      </c>
      <c r="P283" s="69">
        <v>0</v>
      </c>
      <c r="Q283" s="69">
        <v>0</v>
      </c>
      <c r="R283" s="69">
        <v>0</v>
      </c>
      <c r="S283" s="305">
        <f t="shared" si="94"/>
        <v>3086931.54</v>
      </c>
      <c r="T283" s="374">
        <v>2016</v>
      </c>
      <c r="U283" s="374">
        <v>2017</v>
      </c>
      <c r="V283" s="381">
        <f t="shared" si="96"/>
        <v>5</v>
      </c>
    </row>
    <row r="284" spans="1:25" s="111" customFormat="1" ht="18" customHeight="1" x14ac:dyDescent="0.25">
      <c r="A284" s="374">
        <f t="shared" si="95"/>
        <v>258</v>
      </c>
      <c r="B284" s="388" t="s">
        <v>597</v>
      </c>
      <c r="C284" s="389">
        <v>1956</v>
      </c>
      <c r="D284" s="223"/>
      <c r="E284" s="223"/>
      <c r="F284" s="173">
        <v>696.2</v>
      </c>
      <c r="G284" s="126">
        <v>627.70000000000005</v>
      </c>
      <c r="H284" s="305">
        <f t="shared" si="93"/>
        <v>3437747.49</v>
      </c>
      <c r="I284" s="69">
        <v>0</v>
      </c>
      <c r="J284" s="69">
        <v>0</v>
      </c>
      <c r="K284" s="391">
        <f>G284*3980.76</f>
        <v>2498723.0520000001</v>
      </c>
      <c r="L284" s="69">
        <v>0</v>
      </c>
      <c r="M284" s="391">
        <f>G284*1272.94</f>
        <v>799024.43800000008</v>
      </c>
      <c r="N284" s="69">
        <v>0</v>
      </c>
      <c r="O284" s="69">
        <v>140000</v>
      </c>
      <c r="P284" s="69">
        <v>0</v>
      </c>
      <c r="Q284" s="69">
        <v>0</v>
      </c>
      <c r="R284" s="69">
        <v>0</v>
      </c>
      <c r="S284" s="305">
        <f t="shared" si="94"/>
        <v>3437747.49</v>
      </c>
      <c r="T284" s="374">
        <v>2016</v>
      </c>
      <c r="U284" s="374">
        <v>2017</v>
      </c>
      <c r="V284" s="381">
        <f t="shared" si="96"/>
        <v>6</v>
      </c>
    </row>
    <row r="285" spans="1:25" s="23" customFormat="1" ht="18" customHeight="1" x14ac:dyDescent="0.25">
      <c r="A285" s="374">
        <f t="shared" si="95"/>
        <v>259</v>
      </c>
      <c r="B285" s="110" t="s">
        <v>442</v>
      </c>
      <c r="C285" s="287">
        <v>1959</v>
      </c>
      <c r="D285" s="288"/>
      <c r="E285" s="288"/>
      <c r="F285" s="173">
        <v>1365</v>
      </c>
      <c r="G285" s="174">
        <v>1110.3</v>
      </c>
      <c r="H285" s="49">
        <f t="shared" ref="H285:H292" si="97">I285+J285+K285+L285+M285+N285+O285</f>
        <v>3693957</v>
      </c>
      <c r="I285" s="49">
        <f>ROUND((191.67+290.35+292.97+727.06)*G285,2)-83860.66</f>
        <v>1583865.4600000002</v>
      </c>
      <c r="J285" s="48">
        <v>0</v>
      </c>
      <c r="K285" s="48">
        <f>ROUND(1824.94*G285,2)-101887.86</f>
        <v>1924343.0199999998</v>
      </c>
      <c r="L285" s="48">
        <v>0</v>
      </c>
      <c r="M285" s="48">
        <v>0</v>
      </c>
      <c r="N285" s="48">
        <v>0</v>
      </c>
      <c r="O285" s="48">
        <v>185748.52</v>
      </c>
      <c r="P285" s="48">
        <v>0</v>
      </c>
      <c r="Q285" s="48">
        <v>0</v>
      </c>
      <c r="R285" s="48">
        <v>0</v>
      </c>
      <c r="S285" s="49">
        <f t="shared" ref="S285:S292" si="98">H285</f>
        <v>3693957</v>
      </c>
      <c r="T285" s="374">
        <v>2017</v>
      </c>
      <c r="U285" s="374">
        <v>2017</v>
      </c>
      <c r="V285" s="374">
        <f>V278+1</f>
        <v>1</v>
      </c>
      <c r="W285" s="374"/>
      <c r="X285" s="111"/>
      <c r="Y285" s="111"/>
    </row>
    <row r="286" spans="1:25" s="23" customFormat="1" ht="18" customHeight="1" x14ac:dyDescent="0.25">
      <c r="A286" s="374">
        <f t="shared" si="95"/>
        <v>260</v>
      </c>
      <c r="B286" s="172" t="s">
        <v>249</v>
      </c>
      <c r="C286" s="217">
        <v>1954</v>
      </c>
      <c r="D286" s="46"/>
      <c r="E286" s="46"/>
      <c r="F286" s="62">
        <v>1865.5</v>
      </c>
      <c r="G286" s="61">
        <v>838</v>
      </c>
      <c r="H286" s="49">
        <f t="shared" si="97"/>
        <v>1702204.2599999998</v>
      </c>
      <c r="I286" s="48">
        <f>ROUND((332.83+748.38+197.29+298.86+301.56)*G286,2)-94472.1</f>
        <v>1480062.8599999999</v>
      </c>
      <c r="J286" s="48">
        <v>0</v>
      </c>
      <c r="K286" s="48"/>
      <c r="L286" s="48">
        <f>ROUND(152.35*G286,2)-7660.16</f>
        <v>120009.14</v>
      </c>
      <c r="M286" s="48">
        <v>0</v>
      </c>
      <c r="N286" s="48">
        <v>0</v>
      </c>
      <c r="O286" s="48">
        <v>102132.26</v>
      </c>
      <c r="P286" s="48">
        <v>0</v>
      </c>
      <c r="Q286" s="48">
        <v>0</v>
      </c>
      <c r="R286" s="48">
        <v>0</v>
      </c>
      <c r="S286" s="91">
        <f t="shared" si="98"/>
        <v>1702204.2599999998</v>
      </c>
      <c r="T286" s="374">
        <v>2017</v>
      </c>
      <c r="U286" s="374">
        <v>2017</v>
      </c>
      <c r="V286" s="374">
        <f t="shared" si="80"/>
        <v>2</v>
      </c>
      <c r="W286" s="218" t="s">
        <v>142</v>
      </c>
      <c r="X286" s="54">
        <v>2</v>
      </c>
      <c r="Y286" s="219" t="s">
        <v>153</v>
      </c>
    </row>
    <row r="287" spans="1:25" s="23" customFormat="1" ht="18" customHeight="1" x14ac:dyDescent="0.25">
      <c r="A287" s="374">
        <f t="shared" si="95"/>
        <v>261</v>
      </c>
      <c r="B287" s="172" t="s">
        <v>250</v>
      </c>
      <c r="C287" s="217">
        <v>1987</v>
      </c>
      <c r="D287" s="46"/>
      <c r="E287" s="46"/>
      <c r="F287" s="62">
        <v>8669.4</v>
      </c>
      <c r="G287" s="61">
        <v>7684.9</v>
      </c>
      <c r="H287" s="49">
        <f t="shared" si="97"/>
        <v>7965936.8000000007</v>
      </c>
      <c r="I287" s="48">
        <f>ROUND(332.83*G287,2)-49211.68</f>
        <v>2508553.59</v>
      </c>
      <c r="J287" s="48">
        <v>0</v>
      </c>
      <c r="K287" s="48">
        <f>ROUND(703.74*G287,2)-104053.8</f>
        <v>5304117.7300000004</v>
      </c>
      <c r="L287" s="48">
        <v>0</v>
      </c>
      <c r="M287" s="48">
        <v>0</v>
      </c>
      <c r="N287" s="48">
        <v>0</v>
      </c>
      <c r="O287" s="48">
        <v>153265.48000000001</v>
      </c>
      <c r="P287" s="48">
        <v>0</v>
      </c>
      <c r="Q287" s="48">
        <v>0</v>
      </c>
      <c r="R287" s="48">
        <v>0</v>
      </c>
      <c r="S287" s="91">
        <f t="shared" si="98"/>
        <v>7965936.8000000007</v>
      </c>
      <c r="T287" s="374">
        <v>2017</v>
      </c>
      <c r="U287" s="374">
        <v>2017</v>
      </c>
      <c r="V287" s="374">
        <f t="shared" si="80"/>
        <v>3</v>
      </c>
      <c r="W287" s="218" t="s">
        <v>141</v>
      </c>
      <c r="X287" s="54">
        <v>9</v>
      </c>
      <c r="Y287" s="219"/>
    </row>
    <row r="288" spans="1:25" s="23" customFormat="1" ht="18" customHeight="1" x14ac:dyDescent="0.25">
      <c r="A288" s="374">
        <f t="shared" si="95"/>
        <v>262</v>
      </c>
      <c r="B288" s="172" t="s">
        <v>252</v>
      </c>
      <c r="C288" s="217">
        <v>1952</v>
      </c>
      <c r="D288" s="46"/>
      <c r="E288" s="46"/>
      <c r="F288" s="62">
        <v>565.79999999999995</v>
      </c>
      <c r="G288" s="61">
        <v>519.70000000000005</v>
      </c>
      <c r="H288" s="49">
        <f t="shared" si="97"/>
        <v>2188789.31</v>
      </c>
      <c r="I288" s="48">
        <v>0</v>
      </c>
      <c r="J288" s="48">
        <v>0</v>
      </c>
      <c r="K288" s="48">
        <f>ROUND(4211.64*G288,2)-O288</f>
        <v>2114639.29</v>
      </c>
      <c r="L288" s="48">
        <v>0</v>
      </c>
      <c r="M288" s="48">
        <v>0</v>
      </c>
      <c r="N288" s="48">
        <v>0</v>
      </c>
      <c r="O288" s="48">
        <v>74150.02</v>
      </c>
      <c r="P288" s="48">
        <v>0</v>
      </c>
      <c r="Q288" s="48">
        <v>0</v>
      </c>
      <c r="R288" s="48">
        <v>0</v>
      </c>
      <c r="S288" s="91">
        <f t="shared" si="98"/>
        <v>2188789.31</v>
      </c>
      <c r="T288" s="374">
        <v>2017</v>
      </c>
      <c r="U288" s="374">
        <v>2017</v>
      </c>
      <c r="V288" s="374">
        <f t="shared" si="80"/>
        <v>4</v>
      </c>
      <c r="W288" s="218" t="s">
        <v>142</v>
      </c>
      <c r="X288" s="54">
        <v>2</v>
      </c>
      <c r="Y288" s="219" t="s">
        <v>153</v>
      </c>
    </row>
    <row r="289" spans="1:27" s="23" customFormat="1" ht="18" customHeight="1" x14ac:dyDescent="0.25">
      <c r="A289" s="374">
        <f t="shared" si="95"/>
        <v>263</v>
      </c>
      <c r="B289" s="172" t="s">
        <v>251</v>
      </c>
      <c r="C289" s="217">
        <v>1956</v>
      </c>
      <c r="D289" s="46"/>
      <c r="E289" s="46"/>
      <c r="F289" s="62">
        <v>1637.1</v>
      </c>
      <c r="G289" s="61">
        <v>860.6</v>
      </c>
      <c r="H289" s="49">
        <f t="shared" si="97"/>
        <v>4597480.0999999996</v>
      </c>
      <c r="I289" s="48">
        <f>ROUND((332.83+197.29+298.86+301.56)*860.6,2)-29278.16</f>
        <v>943664.55999999994</v>
      </c>
      <c r="J289" s="48">
        <v>0</v>
      </c>
      <c r="K289" s="48">
        <f>ROUND(4211.64*G289,2)-109070.94</f>
        <v>3515466.44</v>
      </c>
      <c r="L289" s="48">
        <v>0</v>
      </c>
      <c r="M289" s="48">
        <v>0</v>
      </c>
      <c r="N289" s="48">
        <v>0</v>
      </c>
      <c r="O289" s="48">
        <v>138349.1</v>
      </c>
      <c r="P289" s="48">
        <v>0</v>
      </c>
      <c r="Q289" s="48">
        <v>0</v>
      </c>
      <c r="R289" s="48">
        <v>0</v>
      </c>
      <c r="S289" s="91">
        <f t="shared" si="98"/>
        <v>4597480.0999999996</v>
      </c>
      <c r="T289" s="374">
        <v>2017</v>
      </c>
      <c r="U289" s="374">
        <v>2017</v>
      </c>
      <c r="V289" s="374">
        <f t="shared" si="80"/>
        <v>5</v>
      </c>
      <c r="W289" s="218" t="s">
        <v>142</v>
      </c>
      <c r="X289" s="54">
        <v>2</v>
      </c>
      <c r="Y289" s="219" t="s">
        <v>153</v>
      </c>
    </row>
    <row r="290" spans="1:27" s="23" customFormat="1" ht="18" customHeight="1" x14ac:dyDescent="0.25">
      <c r="A290" s="374">
        <f t="shared" si="95"/>
        <v>264</v>
      </c>
      <c r="B290" s="110" t="s">
        <v>253</v>
      </c>
      <c r="C290" s="217">
        <v>1954</v>
      </c>
      <c r="D290" s="46"/>
      <c r="E290" s="46"/>
      <c r="F290" s="62">
        <f>656.2+71.2+493.8</f>
        <v>1221.2</v>
      </c>
      <c r="G290" s="61">
        <v>615.6</v>
      </c>
      <c r="H290" s="49">
        <f t="shared" si="97"/>
        <v>3288646</v>
      </c>
      <c r="I290" s="48">
        <f>ROUND((332.83+197.29+298.86+301.56)*G290,2)-28814.93</f>
        <v>667145.49</v>
      </c>
      <c r="J290" s="48">
        <v>0</v>
      </c>
      <c r="K290" s="48">
        <f>ROUND(4211.64*G290,2)-107345.27</f>
        <v>2485340.31</v>
      </c>
      <c r="L290" s="48">
        <v>0</v>
      </c>
      <c r="M290" s="48">
        <v>0</v>
      </c>
      <c r="N290" s="48">
        <v>0</v>
      </c>
      <c r="O290" s="48">
        <v>136160.20000000001</v>
      </c>
      <c r="P290" s="48">
        <v>0</v>
      </c>
      <c r="Q290" s="48">
        <v>0</v>
      </c>
      <c r="R290" s="48">
        <v>0</v>
      </c>
      <c r="S290" s="91">
        <f t="shared" si="98"/>
        <v>3288646</v>
      </c>
      <c r="T290" s="374">
        <v>2017</v>
      </c>
      <c r="U290" s="374">
        <v>2017</v>
      </c>
      <c r="V290" s="374">
        <f t="shared" si="80"/>
        <v>6</v>
      </c>
      <c r="W290" s="218" t="s">
        <v>142</v>
      </c>
      <c r="X290" s="54">
        <v>2</v>
      </c>
      <c r="Y290" s="111"/>
    </row>
    <row r="291" spans="1:27" s="23" customFormat="1" ht="18" customHeight="1" x14ac:dyDescent="0.25">
      <c r="A291" s="374">
        <f t="shared" si="95"/>
        <v>265</v>
      </c>
      <c r="B291" s="172" t="s">
        <v>254</v>
      </c>
      <c r="C291" s="286">
        <v>1989</v>
      </c>
      <c r="D291" s="108"/>
      <c r="E291" s="108"/>
      <c r="F291" s="62">
        <v>17676.8</v>
      </c>
      <c r="G291" s="174">
        <v>15344.5</v>
      </c>
      <c r="H291" s="49">
        <f t="shared" si="97"/>
        <v>6075603.3200000003</v>
      </c>
      <c r="I291" s="48">
        <v>0</v>
      </c>
      <c r="J291" s="152">
        <f>3037801.66*2-151890.08</f>
        <v>5923713.2400000002</v>
      </c>
      <c r="K291" s="48">
        <v>0</v>
      </c>
      <c r="L291" s="48">
        <v>0</v>
      </c>
      <c r="M291" s="48">
        <v>0</v>
      </c>
      <c r="N291" s="48">
        <v>0</v>
      </c>
      <c r="O291" s="48">
        <v>151890.07999999999</v>
      </c>
      <c r="P291" s="48">
        <v>0</v>
      </c>
      <c r="Q291" s="48">
        <v>0</v>
      </c>
      <c r="R291" s="48">
        <v>0</v>
      </c>
      <c r="S291" s="91">
        <f t="shared" si="98"/>
        <v>6075603.3200000003</v>
      </c>
      <c r="T291" s="374">
        <v>2017</v>
      </c>
      <c r="U291" s="374">
        <v>2017</v>
      </c>
      <c r="V291" s="374">
        <f t="shared" si="80"/>
        <v>7</v>
      </c>
      <c r="W291" s="289" t="s">
        <v>141</v>
      </c>
      <c r="X291" s="290">
        <v>9</v>
      </c>
      <c r="AA291" s="175"/>
    </row>
    <row r="292" spans="1:27" s="23" customFormat="1" ht="18" customHeight="1" x14ac:dyDescent="0.25">
      <c r="A292" s="374">
        <f t="shared" si="95"/>
        <v>266</v>
      </c>
      <c r="B292" s="110" t="s">
        <v>485</v>
      </c>
      <c r="C292" s="217">
        <v>1988</v>
      </c>
      <c r="D292" s="46"/>
      <c r="E292" s="46"/>
      <c r="F292" s="62">
        <f>3408.6+529.5+1029</f>
        <v>4967.1000000000004</v>
      </c>
      <c r="G292" s="61">
        <v>3408.6</v>
      </c>
      <c r="H292" s="49">
        <f t="shared" si="97"/>
        <v>5216589.6100000003</v>
      </c>
      <c r="I292" s="48">
        <f>ROUND((293.24+214.38+716.06)*G292,2)-237791.67</f>
        <v>3933243.98</v>
      </c>
      <c r="J292" s="48">
        <v>0</v>
      </c>
      <c r="K292" s="48">
        <v>0</v>
      </c>
      <c r="L292" s="48">
        <v>0</v>
      </c>
      <c r="M292" s="48">
        <f>ROUND(306.74*G292,2)-59607.27</f>
        <v>985946.69</v>
      </c>
      <c r="N292" s="48">
        <v>0</v>
      </c>
      <c r="O292" s="48">
        <v>297398.94</v>
      </c>
      <c r="P292" s="48">
        <v>0</v>
      </c>
      <c r="Q292" s="48">
        <v>0</v>
      </c>
      <c r="R292" s="48">
        <v>0</v>
      </c>
      <c r="S292" s="91">
        <f t="shared" si="98"/>
        <v>5216589.6100000003</v>
      </c>
      <c r="T292" s="374">
        <v>2017</v>
      </c>
      <c r="U292" s="374">
        <v>2017</v>
      </c>
      <c r="V292" s="374">
        <f t="shared" si="80"/>
        <v>8</v>
      </c>
      <c r="W292" s="218" t="s">
        <v>141</v>
      </c>
      <c r="X292" s="54">
        <v>5</v>
      </c>
      <c r="Y292" s="111"/>
    </row>
    <row r="293" spans="1:27" ht="18" customHeight="1" x14ac:dyDescent="0.25">
      <c r="A293" s="417" t="s">
        <v>257</v>
      </c>
      <c r="B293" s="423"/>
      <c r="C293" s="46"/>
      <c r="D293" s="46"/>
      <c r="E293" s="176"/>
      <c r="F293" s="64">
        <f>SUM(F279:F292)</f>
        <v>44958.299999999996</v>
      </c>
      <c r="G293" s="64">
        <f t="shared" ref="G293:H293" si="99">SUM(G279:G292)</f>
        <v>36653.999999999993</v>
      </c>
      <c r="H293" s="45">
        <f t="shared" si="99"/>
        <v>54016339.131999999</v>
      </c>
      <c r="I293" s="45">
        <f t="shared" ref="I293" si="100">SUM(I279:I292)</f>
        <v>14348773.800000001</v>
      </c>
      <c r="J293" s="45">
        <f t="shared" ref="J293" si="101">SUM(J279:J292)</f>
        <v>5923713.2400000002</v>
      </c>
      <c r="K293" s="45">
        <f t="shared" ref="K293" si="102">SUM(K279:K292)</f>
        <v>24449009.482000001</v>
      </c>
      <c r="L293" s="45">
        <f t="shared" ref="L293" si="103">SUM(L279:L292)</f>
        <v>1145928.1109999998</v>
      </c>
      <c r="M293" s="45">
        <f t="shared" ref="M293" si="104">SUM(M279:M292)</f>
        <v>5743900.9280000012</v>
      </c>
      <c r="N293" s="45">
        <f t="shared" ref="N293" si="105">SUM(N279:N292)</f>
        <v>1025918.9709999999</v>
      </c>
      <c r="O293" s="45">
        <f t="shared" ref="O293" si="106">SUM(O279:O292)</f>
        <v>1379094.6</v>
      </c>
      <c r="P293" s="45">
        <f t="shared" ref="P293" si="107">SUM(P279:P292)</f>
        <v>0</v>
      </c>
      <c r="Q293" s="45">
        <f t="shared" ref="Q293" si="108">SUM(Q279:Q292)</f>
        <v>0</v>
      </c>
      <c r="R293" s="45">
        <f t="shared" ref="R293" si="109">SUM(R279:R292)</f>
        <v>0</v>
      </c>
      <c r="S293" s="45">
        <f t="shared" ref="S293" si="110">SUM(S279:S292)</f>
        <v>54016339.131999999</v>
      </c>
      <c r="T293" s="21" t="s">
        <v>112</v>
      </c>
      <c r="U293" s="21" t="s">
        <v>112</v>
      </c>
      <c r="V293" s="374"/>
      <c r="Y293" s="60">
        <f>S293-'[2]2017'!$S$210</f>
        <v>19287132.732000001</v>
      </c>
    </row>
    <row r="294" spans="1:27" ht="18" customHeight="1" x14ac:dyDescent="0.25">
      <c r="A294" s="419" t="s">
        <v>51</v>
      </c>
      <c r="B294" s="420"/>
      <c r="C294" s="420"/>
      <c r="D294" s="420"/>
      <c r="E294" s="421"/>
      <c r="F294" s="420"/>
      <c r="G294" s="420"/>
      <c r="H294" s="420"/>
      <c r="I294" s="420"/>
      <c r="J294" s="420"/>
      <c r="K294" s="420"/>
      <c r="L294" s="420"/>
      <c r="M294" s="420"/>
      <c r="N294" s="420"/>
      <c r="O294" s="420"/>
      <c r="P294" s="420"/>
      <c r="Q294" s="420"/>
      <c r="R294" s="420"/>
      <c r="S294" s="422"/>
      <c r="T294" s="35"/>
      <c r="U294" s="35"/>
      <c r="V294" s="374"/>
    </row>
    <row r="295" spans="1:27" s="23" customFormat="1" ht="18" customHeight="1" x14ac:dyDescent="0.25">
      <c r="A295" s="46">
        <f>A292+1</f>
        <v>267</v>
      </c>
      <c r="B295" s="47" t="s">
        <v>476</v>
      </c>
      <c r="C295" s="46">
        <v>1971</v>
      </c>
      <c r="D295" s="46"/>
      <c r="E295" s="176"/>
      <c r="F295" s="181">
        <v>3185.8</v>
      </c>
      <c r="G295" s="49">
        <v>3006.32</v>
      </c>
      <c r="H295" s="49">
        <f t="shared" ref="H295:H310" si="111">I295+J295+K295+L295+M295+N295+O295</f>
        <v>576221.35</v>
      </c>
      <c r="I295" s="48">
        <f>ROUND(191.67*G295,2)-O295</f>
        <v>541648.06999999995</v>
      </c>
      <c r="J295" s="48">
        <v>0</v>
      </c>
      <c r="K295" s="48">
        <v>0</v>
      </c>
      <c r="L295" s="48">
        <v>0</v>
      </c>
      <c r="M295" s="48">
        <v>0</v>
      </c>
      <c r="N295" s="48">
        <v>0</v>
      </c>
      <c r="O295" s="48">
        <v>34573.279999999999</v>
      </c>
      <c r="P295" s="48">
        <v>0</v>
      </c>
      <c r="Q295" s="48">
        <v>0</v>
      </c>
      <c r="R295" s="48">
        <v>0</v>
      </c>
      <c r="S295" s="49">
        <f t="shared" ref="S295:S310" si="112">H295</f>
        <v>576221.35</v>
      </c>
      <c r="T295" s="374">
        <v>2016</v>
      </c>
      <c r="U295" s="374">
        <v>2017</v>
      </c>
      <c r="V295" s="374">
        <f t="shared" si="80"/>
        <v>1</v>
      </c>
      <c r="W295" s="47" t="s">
        <v>142</v>
      </c>
      <c r="X295" s="47">
        <v>5</v>
      </c>
    </row>
    <row r="296" spans="1:27" s="23" customFormat="1" ht="18" customHeight="1" x14ac:dyDescent="0.25">
      <c r="A296" s="46">
        <f>A295+1</f>
        <v>268</v>
      </c>
      <c r="B296" s="47" t="s">
        <v>265</v>
      </c>
      <c r="C296" s="46">
        <v>1970</v>
      </c>
      <c r="D296" s="46"/>
      <c r="E296" s="176"/>
      <c r="F296" s="31">
        <v>4533.8</v>
      </c>
      <c r="G296" s="31">
        <v>3342.3</v>
      </c>
      <c r="H296" s="49">
        <f t="shared" si="111"/>
        <v>3529970.15</v>
      </c>
      <c r="I296" s="48">
        <v>0</v>
      </c>
      <c r="J296" s="48">
        <v>0</v>
      </c>
      <c r="K296" s="48">
        <f>ROUND(1056.15*G296,2)-O296</f>
        <v>3423177.79</v>
      </c>
      <c r="L296" s="48">
        <v>0</v>
      </c>
      <c r="M296" s="48">
        <v>0</v>
      </c>
      <c r="N296" s="48">
        <v>0</v>
      </c>
      <c r="O296" s="48">
        <v>106792.36</v>
      </c>
      <c r="P296" s="48">
        <v>0</v>
      </c>
      <c r="Q296" s="48">
        <v>0</v>
      </c>
      <c r="R296" s="48">
        <v>0</v>
      </c>
      <c r="S296" s="91">
        <f t="shared" si="112"/>
        <v>3529970.15</v>
      </c>
      <c r="T296" s="374">
        <v>2017</v>
      </c>
      <c r="U296" s="374">
        <v>2017</v>
      </c>
      <c r="V296" s="374">
        <f t="shared" si="80"/>
        <v>2</v>
      </c>
      <c r="W296" s="47" t="s">
        <v>142</v>
      </c>
      <c r="X296" s="47">
        <v>5</v>
      </c>
    </row>
    <row r="297" spans="1:27" s="23" customFormat="1" ht="18" customHeight="1" x14ac:dyDescent="0.25">
      <c r="A297" s="46">
        <f t="shared" ref="A297:A310" si="113">A296+1</f>
        <v>269</v>
      </c>
      <c r="B297" s="47" t="s">
        <v>266</v>
      </c>
      <c r="C297" s="46">
        <v>1973</v>
      </c>
      <c r="D297" s="46"/>
      <c r="E297" s="46"/>
      <c r="F297" s="32">
        <v>4024.7</v>
      </c>
      <c r="G297" s="32">
        <v>2929.9</v>
      </c>
      <c r="H297" s="49">
        <f t="shared" si="111"/>
        <v>869154.84</v>
      </c>
      <c r="I297" s="48">
        <v>0</v>
      </c>
      <c r="J297" s="48">
        <v>0</v>
      </c>
      <c r="K297" s="48">
        <v>0</v>
      </c>
      <c r="L297" s="48">
        <v>0</v>
      </c>
      <c r="M297" s="48">
        <v>0</v>
      </c>
      <c r="N297" s="48">
        <f>ROUND(296.65*G297,2)-O297</f>
        <v>830341.1</v>
      </c>
      <c r="O297" s="48">
        <v>38813.74</v>
      </c>
      <c r="P297" s="48">
        <v>0</v>
      </c>
      <c r="Q297" s="48">
        <v>0</v>
      </c>
      <c r="R297" s="48">
        <v>0</v>
      </c>
      <c r="S297" s="91">
        <f t="shared" si="112"/>
        <v>869154.84</v>
      </c>
      <c r="T297" s="374">
        <v>2017</v>
      </c>
      <c r="U297" s="374">
        <v>2017</v>
      </c>
      <c r="V297" s="374">
        <f t="shared" si="80"/>
        <v>3</v>
      </c>
      <c r="W297" s="47" t="s">
        <v>142</v>
      </c>
      <c r="X297" s="47">
        <v>5</v>
      </c>
    </row>
    <row r="298" spans="1:27" s="23" customFormat="1" ht="18" customHeight="1" x14ac:dyDescent="0.3">
      <c r="A298" s="46">
        <f t="shared" si="113"/>
        <v>270</v>
      </c>
      <c r="B298" s="47" t="s">
        <v>620</v>
      </c>
      <c r="C298" s="46">
        <v>1985</v>
      </c>
      <c r="D298" s="46"/>
      <c r="E298" s="46"/>
      <c r="F298" s="116">
        <v>2865.8</v>
      </c>
      <c r="G298" s="117">
        <v>2236.6</v>
      </c>
      <c r="H298" s="49">
        <f t="shared" si="111"/>
        <v>3037801.66</v>
      </c>
      <c r="I298" s="48">
        <v>0</v>
      </c>
      <c r="J298" s="152">
        <f t="shared" ref="J298:J299" si="114">3037801.66-75945.04</f>
        <v>2961856.62</v>
      </c>
      <c r="K298" s="48">
        <v>0</v>
      </c>
      <c r="L298" s="48">
        <v>0</v>
      </c>
      <c r="M298" s="48">
        <v>0</v>
      </c>
      <c r="N298" s="48">
        <v>0</v>
      </c>
      <c r="O298" s="49">
        <v>75945.039999999994</v>
      </c>
      <c r="P298" s="48">
        <v>0</v>
      </c>
      <c r="Q298" s="48">
        <v>0</v>
      </c>
      <c r="R298" s="48">
        <v>0</v>
      </c>
      <c r="S298" s="91">
        <f t="shared" si="112"/>
        <v>3037801.66</v>
      </c>
      <c r="T298" s="374">
        <v>2017</v>
      </c>
      <c r="U298" s="374">
        <v>2017</v>
      </c>
      <c r="V298" s="374">
        <f t="shared" si="80"/>
        <v>4</v>
      </c>
      <c r="W298" s="47" t="s">
        <v>141</v>
      </c>
      <c r="X298" s="47">
        <v>9</v>
      </c>
    </row>
    <row r="299" spans="1:27" s="23" customFormat="1" ht="18" customHeight="1" x14ac:dyDescent="0.3">
      <c r="A299" s="46">
        <f t="shared" si="113"/>
        <v>271</v>
      </c>
      <c r="B299" s="47" t="s">
        <v>621</v>
      </c>
      <c r="C299" s="46">
        <v>1985</v>
      </c>
      <c r="D299" s="46"/>
      <c r="E299" s="176"/>
      <c r="F299" s="291">
        <v>2883.3</v>
      </c>
      <c r="G299" s="293">
        <v>2207.5</v>
      </c>
      <c r="H299" s="49">
        <f t="shared" si="111"/>
        <v>3037801.66</v>
      </c>
      <c r="I299" s="48">
        <v>0</v>
      </c>
      <c r="J299" s="152">
        <f t="shared" si="114"/>
        <v>2961856.62</v>
      </c>
      <c r="K299" s="48">
        <v>0</v>
      </c>
      <c r="L299" s="48">
        <v>0</v>
      </c>
      <c r="M299" s="48">
        <v>0</v>
      </c>
      <c r="N299" s="48">
        <v>0</v>
      </c>
      <c r="O299" s="49">
        <v>75945.039999999994</v>
      </c>
      <c r="P299" s="48">
        <v>0</v>
      </c>
      <c r="Q299" s="48">
        <v>0</v>
      </c>
      <c r="R299" s="48">
        <v>0</v>
      </c>
      <c r="S299" s="91">
        <f t="shared" si="112"/>
        <v>3037801.66</v>
      </c>
      <c r="T299" s="374">
        <v>2017</v>
      </c>
      <c r="U299" s="374">
        <v>2017</v>
      </c>
      <c r="V299" s="374">
        <f t="shared" si="80"/>
        <v>5</v>
      </c>
      <c r="W299" s="47" t="s">
        <v>141</v>
      </c>
      <c r="X299" s="47">
        <v>9</v>
      </c>
    </row>
    <row r="300" spans="1:27" s="23" customFormat="1" ht="18" customHeight="1" x14ac:dyDescent="0.25">
      <c r="A300" s="46">
        <f t="shared" si="113"/>
        <v>272</v>
      </c>
      <c r="B300" s="47" t="s">
        <v>267</v>
      </c>
      <c r="C300" s="46">
        <v>1993</v>
      </c>
      <c r="D300" s="46"/>
      <c r="E300" s="176"/>
      <c r="F300" s="31">
        <v>5822.6</v>
      </c>
      <c r="G300" s="31">
        <v>4150.8</v>
      </c>
      <c r="H300" s="49">
        <f t="shared" si="111"/>
        <v>4751669.8099999996</v>
      </c>
      <c r="I300" s="48">
        <v>0</v>
      </c>
      <c r="J300" s="48">
        <v>0</v>
      </c>
      <c r="K300" s="48">
        <v>0</v>
      </c>
      <c r="L300" s="48">
        <v>0</v>
      </c>
      <c r="M300" s="48">
        <f>ROUND(1144.76*G300,2)-O300</f>
        <v>4466569.6199999992</v>
      </c>
      <c r="N300" s="48">
        <v>0</v>
      </c>
      <c r="O300" s="48">
        <v>285100.19</v>
      </c>
      <c r="P300" s="48">
        <v>0</v>
      </c>
      <c r="Q300" s="48">
        <v>0</v>
      </c>
      <c r="R300" s="48">
        <v>0</v>
      </c>
      <c r="S300" s="91">
        <f t="shared" si="112"/>
        <v>4751669.8099999996</v>
      </c>
      <c r="T300" s="374">
        <v>2017</v>
      </c>
      <c r="U300" s="374">
        <v>2017</v>
      </c>
      <c r="V300" s="374">
        <f t="shared" si="80"/>
        <v>6</v>
      </c>
      <c r="W300" s="201" t="s">
        <v>142</v>
      </c>
      <c r="X300" s="47">
        <v>5</v>
      </c>
    </row>
    <row r="301" spans="1:27" s="23" customFormat="1" ht="18" customHeight="1" x14ac:dyDescent="0.25">
      <c r="A301" s="46">
        <f t="shared" si="113"/>
        <v>273</v>
      </c>
      <c r="B301" s="47" t="s">
        <v>486</v>
      </c>
      <c r="C301" s="46">
        <v>1954</v>
      </c>
      <c r="D301" s="46"/>
      <c r="E301" s="176"/>
      <c r="F301" s="31">
        <v>563.29999999999995</v>
      </c>
      <c r="G301" s="31">
        <v>517.70000000000005</v>
      </c>
      <c r="H301" s="49">
        <f t="shared" si="111"/>
        <v>776094.43</v>
      </c>
      <c r="I301" s="48">
        <v>0</v>
      </c>
      <c r="J301" s="48">
        <v>0</v>
      </c>
      <c r="K301" s="48">
        <v>0</v>
      </c>
      <c r="L301" s="48">
        <v>0</v>
      </c>
      <c r="M301" s="48">
        <f>ROUND(1346.77*G301,2)-43082.77</f>
        <v>654140.05999999994</v>
      </c>
      <c r="N301" s="48">
        <f>ROUND(152.35*G301,2)-3482.9</f>
        <v>75388.700000000012</v>
      </c>
      <c r="O301" s="48">
        <v>46565.67</v>
      </c>
      <c r="P301" s="48">
        <v>0</v>
      </c>
      <c r="Q301" s="48">
        <v>0</v>
      </c>
      <c r="R301" s="48">
        <v>0</v>
      </c>
      <c r="S301" s="91">
        <f t="shared" si="112"/>
        <v>776094.43</v>
      </c>
      <c r="T301" s="374">
        <v>2017</v>
      </c>
      <c r="U301" s="374">
        <v>2017</v>
      </c>
      <c r="V301" s="374">
        <f t="shared" si="80"/>
        <v>7</v>
      </c>
      <c r="W301" s="47" t="s">
        <v>142</v>
      </c>
      <c r="X301" s="47">
        <v>2</v>
      </c>
    </row>
    <row r="302" spans="1:27" s="23" customFormat="1" ht="18" customHeight="1" x14ac:dyDescent="0.25">
      <c r="A302" s="46">
        <f t="shared" si="113"/>
        <v>274</v>
      </c>
      <c r="B302" s="47" t="s">
        <v>487</v>
      </c>
      <c r="C302" s="46">
        <v>1957</v>
      </c>
      <c r="D302" s="46"/>
      <c r="E302" s="176"/>
      <c r="F302" s="31">
        <v>243.8</v>
      </c>
      <c r="G302" s="31">
        <v>221.2</v>
      </c>
      <c r="H302" s="49">
        <f t="shared" si="111"/>
        <v>931614.77</v>
      </c>
      <c r="I302" s="48">
        <v>0</v>
      </c>
      <c r="J302" s="48">
        <v>0</v>
      </c>
      <c r="K302" s="48">
        <f>ROUND(4211.64*G302,2)-O302</f>
        <v>877352.47</v>
      </c>
      <c r="L302" s="48">
        <v>0</v>
      </c>
      <c r="M302" s="48">
        <v>0</v>
      </c>
      <c r="N302" s="48">
        <v>0</v>
      </c>
      <c r="O302" s="48">
        <v>54262.3</v>
      </c>
      <c r="P302" s="48">
        <v>0</v>
      </c>
      <c r="Q302" s="48">
        <v>0</v>
      </c>
      <c r="R302" s="48">
        <v>0</v>
      </c>
      <c r="S302" s="91">
        <f t="shared" si="112"/>
        <v>931614.77</v>
      </c>
      <c r="T302" s="374">
        <v>2017</v>
      </c>
      <c r="U302" s="374">
        <v>2017</v>
      </c>
      <c r="V302" s="374">
        <f t="shared" si="80"/>
        <v>8</v>
      </c>
      <c r="W302" s="47" t="s">
        <v>142</v>
      </c>
      <c r="X302" s="47">
        <v>2</v>
      </c>
    </row>
    <row r="303" spans="1:27" s="23" customFormat="1" ht="18" customHeight="1" x14ac:dyDescent="0.25">
      <c r="A303" s="46">
        <f t="shared" si="113"/>
        <v>275</v>
      </c>
      <c r="B303" s="47" t="s">
        <v>488</v>
      </c>
      <c r="C303" s="46">
        <v>1954</v>
      </c>
      <c r="D303" s="46"/>
      <c r="E303" s="176"/>
      <c r="F303" s="31">
        <v>991.4</v>
      </c>
      <c r="G303" s="31">
        <v>867.3</v>
      </c>
      <c r="H303" s="49">
        <f t="shared" si="111"/>
        <v>3652755.37</v>
      </c>
      <c r="I303" s="48">
        <v>0</v>
      </c>
      <c r="J303" s="48">
        <v>0</v>
      </c>
      <c r="K303" s="48">
        <f>ROUND(4211.64*G303,2)-O303</f>
        <v>3579312.17</v>
      </c>
      <c r="L303" s="48">
        <v>0</v>
      </c>
      <c r="M303" s="48">
        <v>0</v>
      </c>
      <c r="N303" s="48">
        <v>0</v>
      </c>
      <c r="O303" s="48">
        <v>73443.199999999997</v>
      </c>
      <c r="P303" s="48">
        <v>0</v>
      </c>
      <c r="Q303" s="48">
        <v>0</v>
      </c>
      <c r="R303" s="48">
        <v>0</v>
      </c>
      <c r="S303" s="91">
        <f t="shared" si="112"/>
        <v>3652755.37</v>
      </c>
      <c r="T303" s="374">
        <v>2017</v>
      </c>
      <c r="U303" s="374">
        <v>2017</v>
      </c>
      <c r="V303" s="374">
        <f t="shared" si="80"/>
        <v>9</v>
      </c>
      <c r="W303" s="47" t="s">
        <v>142</v>
      </c>
      <c r="X303" s="47">
        <v>2</v>
      </c>
    </row>
    <row r="304" spans="1:27" s="23" customFormat="1" ht="18" customHeight="1" x14ac:dyDescent="0.25">
      <c r="A304" s="46">
        <f t="shared" si="113"/>
        <v>276</v>
      </c>
      <c r="B304" s="47" t="s">
        <v>489</v>
      </c>
      <c r="C304" s="36">
        <v>1955</v>
      </c>
      <c r="D304" s="36"/>
      <c r="E304" s="191"/>
      <c r="F304" s="181">
        <v>555.70000000000005</v>
      </c>
      <c r="G304" s="181">
        <v>513.9</v>
      </c>
      <c r="H304" s="49">
        <f t="shared" si="111"/>
        <v>707976.34</v>
      </c>
      <c r="I304" s="48">
        <f>ROUND(332.83*G304,2)-O304+536935</f>
        <v>697713.86</v>
      </c>
      <c r="J304" s="48">
        <v>0</v>
      </c>
      <c r="K304" s="48">
        <v>0</v>
      </c>
      <c r="L304" s="48">
        <v>0</v>
      </c>
      <c r="M304" s="48">
        <v>0</v>
      </c>
      <c r="N304" s="48">
        <v>0</v>
      </c>
      <c r="O304" s="48">
        <v>10262.48</v>
      </c>
      <c r="P304" s="48">
        <v>0</v>
      </c>
      <c r="Q304" s="48">
        <v>0</v>
      </c>
      <c r="R304" s="48">
        <v>0</v>
      </c>
      <c r="S304" s="49">
        <f t="shared" si="112"/>
        <v>707976.34</v>
      </c>
      <c r="T304" s="374">
        <v>2016</v>
      </c>
      <c r="U304" s="374">
        <v>2017</v>
      </c>
      <c r="V304" s="374">
        <f t="shared" si="80"/>
        <v>10</v>
      </c>
      <c r="W304" s="47" t="s">
        <v>142</v>
      </c>
      <c r="X304" s="47" t="s">
        <v>16</v>
      </c>
      <c r="AA304" s="222">
        <f>497999.93-S304</f>
        <v>-209976.40999999997</v>
      </c>
    </row>
    <row r="305" spans="1:27" s="23" customFormat="1" ht="18" customHeight="1" x14ac:dyDescent="0.25">
      <c r="A305" s="46">
        <f t="shared" si="113"/>
        <v>277</v>
      </c>
      <c r="B305" s="47" t="s">
        <v>490</v>
      </c>
      <c r="C305" s="46">
        <v>1956</v>
      </c>
      <c r="D305" s="46"/>
      <c r="E305" s="176"/>
      <c r="F305" s="31">
        <v>243.1</v>
      </c>
      <c r="G305" s="31">
        <v>220.9</v>
      </c>
      <c r="H305" s="49">
        <f t="shared" si="111"/>
        <v>1227852.77</v>
      </c>
      <c r="I305" s="48">
        <v>0</v>
      </c>
      <c r="J305" s="48">
        <v>0</v>
      </c>
      <c r="K305" s="48">
        <f>ROUND(4211.64*G305,2)-55821.08</f>
        <v>874530.20000000007</v>
      </c>
      <c r="L305" s="48">
        <v>0</v>
      </c>
      <c r="M305" s="48">
        <f>ROUND(1346.77*G305,2)-17850.09</f>
        <v>279651.39999999997</v>
      </c>
      <c r="N305" s="48">
        <v>0</v>
      </c>
      <c r="O305" s="48">
        <v>73671.17</v>
      </c>
      <c r="P305" s="48">
        <v>0</v>
      </c>
      <c r="Q305" s="48">
        <v>0</v>
      </c>
      <c r="R305" s="48">
        <v>0</v>
      </c>
      <c r="S305" s="91">
        <f t="shared" si="112"/>
        <v>1227852.77</v>
      </c>
      <c r="T305" s="374">
        <v>2017</v>
      </c>
      <c r="U305" s="374">
        <v>2017</v>
      </c>
      <c r="V305" s="374">
        <f t="shared" si="80"/>
        <v>11</v>
      </c>
      <c r="W305" s="47" t="s">
        <v>142</v>
      </c>
      <c r="X305" s="47">
        <v>2</v>
      </c>
    </row>
    <row r="306" spans="1:27" s="23" customFormat="1" ht="18" customHeight="1" x14ac:dyDescent="0.25">
      <c r="A306" s="46">
        <f t="shared" si="113"/>
        <v>278</v>
      </c>
      <c r="B306" s="47" t="s">
        <v>491</v>
      </c>
      <c r="C306" s="36">
        <v>1954</v>
      </c>
      <c r="D306" s="36"/>
      <c r="E306" s="191"/>
      <c r="F306" s="181">
        <v>994.2</v>
      </c>
      <c r="G306" s="181">
        <v>870.8</v>
      </c>
      <c r="H306" s="49">
        <f t="shared" si="111"/>
        <v>1363411.8100000003</v>
      </c>
      <c r="I306" s="48">
        <f>ROUND((332.83+301.56)*G306,2)-O306+810985</f>
        <v>1330266.2000000002</v>
      </c>
      <c r="J306" s="48">
        <v>0</v>
      </c>
      <c r="K306" s="48">
        <v>0</v>
      </c>
      <c r="L306" s="48">
        <v>0</v>
      </c>
      <c r="M306" s="48">
        <v>0</v>
      </c>
      <c r="N306" s="48">
        <v>0</v>
      </c>
      <c r="O306" s="48">
        <v>33145.61</v>
      </c>
      <c r="P306" s="48">
        <v>0</v>
      </c>
      <c r="Q306" s="48">
        <v>0</v>
      </c>
      <c r="R306" s="48">
        <v>0</v>
      </c>
      <c r="S306" s="49">
        <f t="shared" si="112"/>
        <v>1363411.8100000003</v>
      </c>
      <c r="T306" s="374">
        <v>2016</v>
      </c>
      <c r="U306" s="374">
        <v>2017</v>
      </c>
      <c r="V306" s="374">
        <f t="shared" si="80"/>
        <v>12</v>
      </c>
      <c r="W306" s="47" t="s">
        <v>142</v>
      </c>
      <c r="X306" s="47" t="s">
        <v>16</v>
      </c>
      <c r="AA306" s="222">
        <f>992285.31-S306</f>
        <v>-371126.50000000023</v>
      </c>
    </row>
    <row r="307" spans="1:27" s="23" customFormat="1" ht="18" customHeight="1" x14ac:dyDescent="0.25">
      <c r="A307" s="46">
        <f t="shared" si="113"/>
        <v>279</v>
      </c>
      <c r="B307" s="220" t="s">
        <v>492</v>
      </c>
      <c r="C307" s="191">
        <v>1955</v>
      </c>
      <c r="D307" s="191"/>
      <c r="E307" s="191"/>
      <c r="F307" s="221">
        <v>234.1</v>
      </c>
      <c r="G307" s="221">
        <v>212.3</v>
      </c>
      <c r="H307" s="169">
        <f t="shared" si="111"/>
        <v>367725</v>
      </c>
      <c r="I307" s="170">
        <f>ROUND((332.83+301.56)*G307,2)-O307+233044</f>
        <v>359644.14</v>
      </c>
      <c r="J307" s="170">
        <v>0</v>
      </c>
      <c r="K307" s="170">
        <v>0</v>
      </c>
      <c r="L307" s="170">
        <v>0</v>
      </c>
      <c r="M307" s="170">
        <v>0</v>
      </c>
      <c r="N307" s="170">
        <v>0</v>
      </c>
      <c r="O307" s="170">
        <v>8080.86</v>
      </c>
      <c r="P307" s="170">
        <v>0</v>
      </c>
      <c r="Q307" s="170">
        <v>0</v>
      </c>
      <c r="R307" s="170">
        <v>0</v>
      </c>
      <c r="S307" s="169">
        <f t="shared" si="112"/>
        <v>367725</v>
      </c>
      <c r="T307" s="374">
        <v>2016</v>
      </c>
      <c r="U307" s="374">
        <v>2017</v>
      </c>
      <c r="V307" s="374">
        <f t="shared" si="80"/>
        <v>13</v>
      </c>
      <c r="W307" s="220" t="s">
        <v>142</v>
      </c>
      <c r="X307" s="220" t="s">
        <v>15</v>
      </c>
      <c r="AA307" s="222">
        <f>274089.92-S307</f>
        <v>-93635.080000000016</v>
      </c>
    </row>
    <row r="308" spans="1:27" s="23" customFormat="1" ht="18" customHeight="1" x14ac:dyDescent="0.25">
      <c r="A308" s="46">
        <f t="shared" si="113"/>
        <v>280</v>
      </c>
      <c r="B308" s="220" t="s">
        <v>493</v>
      </c>
      <c r="C308" s="176">
        <v>1953</v>
      </c>
      <c r="D308" s="176"/>
      <c r="E308" s="176"/>
      <c r="F308" s="292">
        <v>996.3</v>
      </c>
      <c r="G308" s="292">
        <v>889.1</v>
      </c>
      <c r="H308" s="169">
        <f t="shared" si="111"/>
        <v>3744569.12</v>
      </c>
      <c r="I308" s="170">
        <v>0</v>
      </c>
      <c r="J308" s="170">
        <v>0</v>
      </c>
      <c r="K308" s="170">
        <f>ROUND(4211.64*G308,2)-O308</f>
        <v>3674826.4</v>
      </c>
      <c r="L308" s="170">
        <v>0</v>
      </c>
      <c r="M308" s="170">
        <v>0</v>
      </c>
      <c r="N308" s="170">
        <v>0</v>
      </c>
      <c r="O308" s="170">
        <v>69742.720000000001</v>
      </c>
      <c r="P308" s="170">
        <v>0</v>
      </c>
      <c r="Q308" s="170">
        <v>0</v>
      </c>
      <c r="R308" s="170">
        <v>0</v>
      </c>
      <c r="S308" s="171">
        <f t="shared" si="112"/>
        <v>3744569.12</v>
      </c>
      <c r="T308" s="374">
        <v>2017</v>
      </c>
      <c r="U308" s="374">
        <v>2017</v>
      </c>
      <c r="V308" s="374">
        <f t="shared" si="80"/>
        <v>14</v>
      </c>
      <c r="W308" s="220" t="s">
        <v>142</v>
      </c>
      <c r="X308" s="220">
        <v>2</v>
      </c>
    </row>
    <row r="309" spans="1:27" s="23" customFormat="1" ht="18" customHeight="1" x14ac:dyDescent="0.25">
      <c r="A309" s="46">
        <f t="shared" si="113"/>
        <v>281</v>
      </c>
      <c r="B309" s="220" t="s">
        <v>494</v>
      </c>
      <c r="C309" s="176">
        <v>1976</v>
      </c>
      <c r="D309" s="176"/>
      <c r="E309" s="176"/>
      <c r="F309" s="292">
        <v>544.79999999999995</v>
      </c>
      <c r="G309" s="292">
        <v>507.8</v>
      </c>
      <c r="H309" s="169">
        <f t="shared" si="111"/>
        <v>2138670.79</v>
      </c>
      <c r="I309" s="170">
        <v>0</v>
      </c>
      <c r="J309" s="170">
        <v>0</v>
      </c>
      <c r="K309" s="170">
        <f>ROUND(4211.64*G309,2)-O309</f>
        <v>2061671.07</v>
      </c>
      <c r="L309" s="170">
        <v>0</v>
      </c>
      <c r="M309" s="170">
        <v>0</v>
      </c>
      <c r="N309" s="170">
        <v>0</v>
      </c>
      <c r="O309" s="170">
        <v>76999.72</v>
      </c>
      <c r="P309" s="170">
        <v>0</v>
      </c>
      <c r="Q309" s="170">
        <v>0</v>
      </c>
      <c r="R309" s="170">
        <v>0</v>
      </c>
      <c r="S309" s="171">
        <f t="shared" si="112"/>
        <v>2138670.79</v>
      </c>
      <c r="T309" s="374">
        <v>2017</v>
      </c>
      <c r="U309" s="374">
        <v>2017</v>
      </c>
      <c r="V309" s="374">
        <f t="shared" si="80"/>
        <v>15</v>
      </c>
      <c r="W309" s="220" t="s">
        <v>268</v>
      </c>
      <c r="X309" s="220">
        <v>2</v>
      </c>
    </row>
    <row r="310" spans="1:27" s="23" customFormat="1" ht="18" customHeight="1" x14ac:dyDescent="0.25">
      <c r="A310" s="46">
        <f t="shared" si="113"/>
        <v>282</v>
      </c>
      <c r="B310" s="220" t="s">
        <v>495</v>
      </c>
      <c r="C310" s="176">
        <v>1950</v>
      </c>
      <c r="D310" s="176"/>
      <c r="E310" s="176"/>
      <c r="F310" s="292">
        <v>544.79999999999995</v>
      </c>
      <c r="G310" s="292">
        <v>351.5</v>
      </c>
      <c r="H310" s="169">
        <f t="shared" si="111"/>
        <v>1480391.46</v>
      </c>
      <c r="I310" s="170">
        <v>0</v>
      </c>
      <c r="J310" s="170">
        <v>0</v>
      </c>
      <c r="K310" s="170">
        <f>ROUND(4211.64*G310,2)-O310</f>
        <v>1416912.18</v>
      </c>
      <c r="L310" s="170">
        <v>0</v>
      </c>
      <c r="M310" s="170">
        <v>0</v>
      </c>
      <c r="N310" s="170">
        <v>0</v>
      </c>
      <c r="O310" s="170">
        <v>63479.28</v>
      </c>
      <c r="P310" s="170">
        <v>0</v>
      </c>
      <c r="Q310" s="170">
        <v>0</v>
      </c>
      <c r="R310" s="170">
        <v>0</v>
      </c>
      <c r="S310" s="171">
        <f t="shared" si="112"/>
        <v>1480391.46</v>
      </c>
      <c r="T310" s="374">
        <v>2017</v>
      </c>
      <c r="U310" s="374">
        <v>2017</v>
      </c>
      <c r="V310" s="374">
        <f t="shared" si="80"/>
        <v>16</v>
      </c>
      <c r="W310" s="220" t="s">
        <v>268</v>
      </c>
      <c r="X310" s="220">
        <v>2</v>
      </c>
    </row>
    <row r="311" spans="1:27" ht="18" customHeight="1" x14ac:dyDescent="0.25">
      <c r="A311" s="417" t="s">
        <v>257</v>
      </c>
      <c r="B311" s="423"/>
      <c r="C311" s="46"/>
      <c r="D311" s="46"/>
      <c r="E311" s="176"/>
      <c r="F311" s="64">
        <f>SUM(F295:F310)</f>
        <v>29227.499999999996</v>
      </c>
      <c r="G311" s="93">
        <f>SUM(G295:G310)</f>
        <v>23045.920000000002</v>
      </c>
      <c r="H311" s="93">
        <f>SUM(H295:H310)</f>
        <v>32193681.329999998</v>
      </c>
      <c r="I311" s="45">
        <f t="shared" ref="I311:S311" si="115">SUM(I295:I310)</f>
        <v>2929272.27</v>
      </c>
      <c r="J311" s="93">
        <f t="shared" si="115"/>
        <v>5923713.2400000002</v>
      </c>
      <c r="K311" s="93">
        <f t="shared" si="115"/>
        <v>15907782.279999999</v>
      </c>
      <c r="L311" s="45">
        <f t="shared" si="115"/>
        <v>0</v>
      </c>
      <c r="M311" s="93">
        <f t="shared" si="115"/>
        <v>5400361.0799999991</v>
      </c>
      <c r="N311" s="93">
        <f t="shared" si="115"/>
        <v>905729.8</v>
      </c>
      <c r="O311" s="45">
        <f t="shared" si="115"/>
        <v>1126822.6599999999</v>
      </c>
      <c r="P311" s="45">
        <f t="shared" si="115"/>
        <v>0</v>
      </c>
      <c r="Q311" s="45">
        <f t="shared" si="115"/>
        <v>0</v>
      </c>
      <c r="R311" s="45">
        <f t="shared" si="115"/>
        <v>0</v>
      </c>
      <c r="S311" s="93">
        <f t="shared" si="115"/>
        <v>32193681.329999998</v>
      </c>
      <c r="T311" s="21" t="s">
        <v>112</v>
      </c>
      <c r="U311" s="21" t="s">
        <v>112</v>
      </c>
      <c r="V311" s="374"/>
      <c r="Y311" s="60">
        <f>S311-'[2]2017'!$S$228</f>
        <v>1580964</v>
      </c>
    </row>
    <row r="312" spans="1:27" ht="18" customHeight="1" x14ac:dyDescent="0.25">
      <c r="A312" s="433" t="s">
        <v>30</v>
      </c>
      <c r="B312" s="434"/>
      <c r="C312" s="434"/>
      <c r="D312" s="432"/>
      <c r="E312" s="428"/>
      <c r="F312" s="434"/>
      <c r="G312" s="434"/>
      <c r="H312" s="434"/>
      <c r="I312" s="434"/>
      <c r="J312" s="434"/>
      <c r="K312" s="434"/>
      <c r="L312" s="434"/>
      <c r="M312" s="434"/>
      <c r="N312" s="434"/>
      <c r="O312" s="434"/>
      <c r="P312" s="434"/>
      <c r="Q312" s="434"/>
      <c r="R312" s="434"/>
      <c r="S312" s="435"/>
      <c r="T312" s="27"/>
      <c r="U312" s="28"/>
      <c r="V312" s="374"/>
      <c r="Y312" s="8" t="s">
        <v>321</v>
      </c>
      <c r="Z312" s="2" t="s">
        <v>322</v>
      </c>
      <c r="AA312" s="2" t="s">
        <v>323</v>
      </c>
    </row>
    <row r="313" spans="1:27" s="23" customFormat="1" ht="18" customHeight="1" x14ac:dyDescent="0.3">
      <c r="A313" s="46">
        <f>A310+1</f>
        <v>283</v>
      </c>
      <c r="B313" s="185" t="s">
        <v>392</v>
      </c>
      <c r="C313" s="38">
        <v>1987</v>
      </c>
      <c r="D313" s="38"/>
      <c r="E313" s="38"/>
      <c r="F313" s="227">
        <v>3922.2</v>
      </c>
      <c r="G313" s="227">
        <f>3378.6+62.8</f>
        <v>3441.4</v>
      </c>
      <c r="H313" s="169">
        <f t="shared" ref="H313:H351" si="116">I313+J313+K313+L313+M313+N313+O313</f>
        <v>779718</v>
      </c>
      <c r="I313" s="170">
        <v>0</v>
      </c>
      <c r="J313" s="170">
        <v>0</v>
      </c>
      <c r="K313" s="327"/>
      <c r="L313" s="170">
        <v>0</v>
      </c>
      <c r="M313" s="342">
        <f>779718-O313</f>
        <v>779718</v>
      </c>
      <c r="N313" s="170">
        <v>0</v>
      </c>
      <c r="O313" s="170">
        <v>0</v>
      </c>
      <c r="P313" s="170">
        <v>0</v>
      </c>
      <c r="Q313" s="170">
        <v>0</v>
      </c>
      <c r="R313" s="170">
        <v>0</v>
      </c>
      <c r="S313" s="94">
        <f t="shared" ref="S313:S351" si="117">H313</f>
        <v>779718</v>
      </c>
      <c r="T313" s="374">
        <v>2017</v>
      </c>
      <c r="U313" s="374">
        <v>2017</v>
      </c>
      <c r="V313" s="374">
        <f t="shared" si="80"/>
        <v>1</v>
      </c>
      <c r="W313" s="187" t="s">
        <v>318</v>
      </c>
      <c r="X313" s="374">
        <v>5</v>
      </c>
      <c r="Z313" s="111"/>
    </row>
    <row r="314" spans="1:27" s="23" customFormat="1" ht="18" customHeight="1" x14ac:dyDescent="0.3">
      <c r="A314" s="46">
        <f t="shared" ref="A314:A351" si="118">A313+1</f>
        <v>284</v>
      </c>
      <c r="B314" s="185" t="s">
        <v>391</v>
      </c>
      <c r="C314" s="144">
        <v>1989</v>
      </c>
      <c r="D314" s="144"/>
      <c r="E314" s="144"/>
      <c r="F314" s="226">
        <v>948.4</v>
      </c>
      <c r="G314" s="226">
        <v>856.7</v>
      </c>
      <c r="H314" s="169">
        <f t="shared" si="116"/>
        <v>918767.92</v>
      </c>
      <c r="I314" s="170">
        <v>0</v>
      </c>
      <c r="J314" s="170">
        <v>0</v>
      </c>
      <c r="K314" s="342">
        <f>918767.92</f>
        <v>918767.92</v>
      </c>
      <c r="L314" s="170">
        <v>0</v>
      </c>
      <c r="M314" s="170">
        <v>0</v>
      </c>
      <c r="N314" s="170">
        <v>0</v>
      </c>
      <c r="O314" s="170">
        <v>0</v>
      </c>
      <c r="P314" s="170">
        <v>0</v>
      </c>
      <c r="Q314" s="170">
        <v>0</v>
      </c>
      <c r="R314" s="170">
        <v>0</v>
      </c>
      <c r="S314" s="94">
        <f t="shared" si="117"/>
        <v>918767.92</v>
      </c>
      <c r="T314" s="374">
        <v>2017</v>
      </c>
      <c r="U314" s="374">
        <v>2017</v>
      </c>
      <c r="V314" s="374">
        <f t="shared" si="80"/>
        <v>2</v>
      </c>
      <c r="W314" s="187" t="s">
        <v>318</v>
      </c>
      <c r="X314" s="374">
        <v>5</v>
      </c>
      <c r="AA314" s="111"/>
    </row>
    <row r="315" spans="1:27" s="23" customFormat="1" ht="18" customHeight="1" x14ac:dyDescent="0.3">
      <c r="A315" s="46">
        <f t="shared" si="118"/>
        <v>285</v>
      </c>
      <c r="B315" s="185" t="s">
        <v>293</v>
      </c>
      <c r="C315" s="38">
        <v>1981</v>
      </c>
      <c r="D315" s="38"/>
      <c r="E315" s="38"/>
      <c r="F315" s="227">
        <v>2377.6</v>
      </c>
      <c r="G315" s="227">
        <v>2086.1999999999998</v>
      </c>
      <c r="H315" s="169">
        <f t="shared" si="116"/>
        <v>639920.99</v>
      </c>
      <c r="I315" s="170">
        <v>0</v>
      </c>
      <c r="J315" s="170">
        <v>0</v>
      </c>
      <c r="K315" s="170">
        <v>0</v>
      </c>
      <c r="L315" s="170">
        <v>0</v>
      </c>
      <c r="M315" s="342">
        <f>639920.99</f>
        <v>639920.99</v>
      </c>
      <c r="N315" s="170">
        <v>0</v>
      </c>
      <c r="O315" s="170">
        <v>0</v>
      </c>
      <c r="P315" s="170">
        <v>0</v>
      </c>
      <c r="Q315" s="170">
        <v>0</v>
      </c>
      <c r="R315" s="170">
        <v>0</v>
      </c>
      <c r="S315" s="94">
        <f t="shared" si="117"/>
        <v>639920.99</v>
      </c>
      <c r="T315" s="374">
        <v>2017</v>
      </c>
      <c r="U315" s="374">
        <v>2017</v>
      </c>
      <c r="V315" s="374">
        <f t="shared" si="80"/>
        <v>3</v>
      </c>
      <c r="W315" s="187" t="s">
        <v>318</v>
      </c>
      <c r="X315" s="374">
        <v>5</v>
      </c>
      <c r="AA315" s="111"/>
    </row>
    <row r="316" spans="1:27" s="23" customFormat="1" ht="18" customHeight="1" x14ac:dyDescent="0.3">
      <c r="A316" s="46">
        <f t="shared" si="118"/>
        <v>286</v>
      </c>
      <c r="B316" s="185" t="s">
        <v>294</v>
      </c>
      <c r="C316" s="38">
        <v>1981</v>
      </c>
      <c r="D316" s="38"/>
      <c r="E316" s="38"/>
      <c r="F316" s="227">
        <v>3972.2</v>
      </c>
      <c r="G316" s="227">
        <v>3485.8</v>
      </c>
      <c r="H316" s="169">
        <f t="shared" si="116"/>
        <v>1719234</v>
      </c>
      <c r="I316" s="335">
        <v>650000</v>
      </c>
      <c r="J316" s="170">
        <v>0</v>
      </c>
      <c r="K316" s="170">
        <v>0</v>
      </c>
      <c r="L316" s="170">
        <v>0</v>
      </c>
      <c r="M316" s="342">
        <v>1069234</v>
      </c>
      <c r="N316" s="170">
        <v>0</v>
      </c>
      <c r="O316" s="170">
        <v>0</v>
      </c>
      <c r="P316" s="170">
        <v>0</v>
      </c>
      <c r="Q316" s="170">
        <v>0</v>
      </c>
      <c r="R316" s="170">
        <v>0</v>
      </c>
      <c r="S316" s="94">
        <f t="shared" si="117"/>
        <v>1719234</v>
      </c>
      <c r="T316" s="374">
        <v>2017</v>
      </c>
      <c r="U316" s="374">
        <v>2017</v>
      </c>
      <c r="V316" s="374">
        <f t="shared" si="80"/>
        <v>4</v>
      </c>
      <c r="W316" s="187" t="s">
        <v>318</v>
      </c>
      <c r="X316" s="374">
        <v>5</v>
      </c>
      <c r="AA316" s="111"/>
    </row>
    <row r="317" spans="1:27" s="23" customFormat="1" ht="18" customHeight="1" x14ac:dyDescent="0.3">
      <c r="A317" s="46">
        <f t="shared" si="118"/>
        <v>287</v>
      </c>
      <c r="B317" s="185" t="s">
        <v>295</v>
      </c>
      <c r="C317" s="38">
        <v>1981</v>
      </c>
      <c r="D317" s="38"/>
      <c r="E317" s="38"/>
      <c r="F317" s="227">
        <v>3948.1</v>
      </c>
      <c r="G317" s="227">
        <v>3462.2</v>
      </c>
      <c r="H317" s="169">
        <f t="shared" si="116"/>
        <v>650000</v>
      </c>
      <c r="I317" s="335">
        <v>650000</v>
      </c>
      <c r="J317" s="170">
        <v>0</v>
      </c>
      <c r="K317" s="170">
        <v>0</v>
      </c>
      <c r="L317" s="170">
        <v>0</v>
      </c>
      <c r="M317" s="170">
        <v>0</v>
      </c>
      <c r="N317" s="170">
        <v>0</v>
      </c>
      <c r="O317" s="170">
        <v>0</v>
      </c>
      <c r="P317" s="170">
        <v>0</v>
      </c>
      <c r="Q317" s="170">
        <v>0</v>
      </c>
      <c r="R317" s="170">
        <v>0</v>
      </c>
      <c r="S317" s="94">
        <f t="shared" si="117"/>
        <v>650000</v>
      </c>
      <c r="T317" s="374">
        <v>2017</v>
      </c>
      <c r="U317" s="374">
        <v>2017</v>
      </c>
      <c r="V317" s="374">
        <f t="shared" si="80"/>
        <v>5</v>
      </c>
      <c r="W317" s="187" t="s">
        <v>318</v>
      </c>
      <c r="X317" s="374">
        <v>5</v>
      </c>
      <c r="Y317" s="111"/>
    </row>
    <row r="318" spans="1:27" s="23" customFormat="1" ht="18" customHeight="1" x14ac:dyDescent="0.3">
      <c r="A318" s="46">
        <f t="shared" si="118"/>
        <v>288</v>
      </c>
      <c r="B318" s="185" t="s">
        <v>317</v>
      </c>
      <c r="C318" s="144">
        <v>1982</v>
      </c>
      <c r="D318" s="144"/>
      <c r="E318" s="144"/>
      <c r="F318" s="186">
        <v>2380.1</v>
      </c>
      <c r="G318" s="186">
        <v>2087.9</v>
      </c>
      <c r="H318" s="169">
        <f t="shared" si="116"/>
        <v>650000</v>
      </c>
      <c r="I318" s="335">
        <v>650000</v>
      </c>
      <c r="J318" s="170">
        <v>0</v>
      </c>
      <c r="K318" s="170">
        <v>0</v>
      </c>
      <c r="L318" s="170">
        <v>0</v>
      </c>
      <c r="M318" s="170">
        <v>0</v>
      </c>
      <c r="N318" s="170">
        <v>0</v>
      </c>
      <c r="O318" s="170">
        <v>0</v>
      </c>
      <c r="P318" s="170">
        <v>0</v>
      </c>
      <c r="Q318" s="170">
        <v>0</v>
      </c>
      <c r="R318" s="170">
        <v>0</v>
      </c>
      <c r="S318" s="94">
        <f t="shared" si="117"/>
        <v>650000</v>
      </c>
      <c r="T318" s="374">
        <v>2017</v>
      </c>
      <c r="U318" s="374">
        <v>2017</v>
      </c>
      <c r="V318" s="374">
        <f t="shared" si="80"/>
        <v>6</v>
      </c>
      <c r="W318" s="187" t="s">
        <v>318</v>
      </c>
      <c r="X318" s="374">
        <v>5</v>
      </c>
      <c r="Y318" s="111"/>
    </row>
    <row r="319" spans="1:27" s="23" customFormat="1" ht="18" customHeight="1" x14ac:dyDescent="0.3">
      <c r="A319" s="46">
        <f t="shared" si="118"/>
        <v>289</v>
      </c>
      <c r="B319" s="185" t="s">
        <v>292</v>
      </c>
      <c r="C319" s="38">
        <v>1986</v>
      </c>
      <c r="D319" s="38"/>
      <c r="E319" s="38"/>
      <c r="F319" s="227">
        <v>2331.3000000000002</v>
      </c>
      <c r="G319" s="227">
        <v>2041.6</v>
      </c>
      <c r="H319" s="169">
        <f t="shared" si="116"/>
        <v>1600000</v>
      </c>
      <c r="I319" s="69">
        <v>0</v>
      </c>
      <c r="J319" s="170">
        <v>0</v>
      </c>
      <c r="K319" s="342">
        <f>1600000</f>
        <v>1600000</v>
      </c>
      <c r="L319" s="170">
        <v>0</v>
      </c>
      <c r="M319" s="170">
        <v>0</v>
      </c>
      <c r="N319" s="170">
        <v>0</v>
      </c>
      <c r="O319" s="170">
        <v>0</v>
      </c>
      <c r="P319" s="170">
        <v>0</v>
      </c>
      <c r="Q319" s="170">
        <v>0</v>
      </c>
      <c r="R319" s="170">
        <v>0</v>
      </c>
      <c r="S319" s="94">
        <f t="shared" si="117"/>
        <v>1600000</v>
      </c>
      <c r="T319" s="374">
        <v>2017</v>
      </c>
      <c r="U319" s="374">
        <v>2017</v>
      </c>
      <c r="V319" s="374">
        <f t="shared" si="80"/>
        <v>7</v>
      </c>
      <c r="W319" s="187" t="s">
        <v>318</v>
      </c>
      <c r="X319" s="374">
        <v>5</v>
      </c>
      <c r="Y319" s="111"/>
    </row>
    <row r="320" spans="1:27" s="23" customFormat="1" ht="18" customHeight="1" x14ac:dyDescent="0.3">
      <c r="A320" s="46">
        <f t="shared" si="118"/>
        <v>290</v>
      </c>
      <c r="B320" s="185" t="s">
        <v>298</v>
      </c>
      <c r="C320" s="38">
        <v>1993</v>
      </c>
      <c r="D320" s="38"/>
      <c r="E320" s="38"/>
      <c r="F320" s="227">
        <v>3467.4</v>
      </c>
      <c r="G320" s="227">
        <f>2708.1+161.8</f>
        <v>2869.9</v>
      </c>
      <c r="H320" s="169">
        <f t="shared" si="116"/>
        <v>1489125</v>
      </c>
      <c r="I320" s="170">
        <v>700000</v>
      </c>
      <c r="J320" s="170">
        <v>0</v>
      </c>
      <c r="K320" s="170">
        <v>0</v>
      </c>
      <c r="L320" s="170">
        <v>0</v>
      </c>
      <c r="M320" s="37">
        <f>789125</f>
        <v>789125</v>
      </c>
      <c r="N320" s="170">
        <v>0</v>
      </c>
      <c r="O320" s="170">
        <v>0</v>
      </c>
      <c r="P320" s="170">
        <v>0</v>
      </c>
      <c r="Q320" s="170">
        <v>0</v>
      </c>
      <c r="R320" s="170">
        <v>0</v>
      </c>
      <c r="S320" s="94">
        <f t="shared" si="117"/>
        <v>1489125</v>
      </c>
      <c r="T320" s="374">
        <v>2017</v>
      </c>
      <c r="U320" s="374">
        <v>2017</v>
      </c>
      <c r="V320" s="374">
        <f t="shared" si="80"/>
        <v>8</v>
      </c>
      <c r="W320" s="187" t="s">
        <v>318</v>
      </c>
      <c r="X320" s="374">
        <v>5</v>
      </c>
      <c r="AA320" s="111"/>
    </row>
    <row r="321" spans="1:27" s="23" customFormat="1" ht="18" customHeight="1" x14ac:dyDescent="0.3">
      <c r="A321" s="46">
        <f t="shared" si="118"/>
        <v>291</v>
      </c>
      <c r="B321" s="185" t="s">
        <v>390</v>
      </c>
      <c r="C321" s="144">
        <v>1977</v>
      </c>
      <c r="D321" s="144"/>
      <c r="E321" s="144"/>
      <c r="F321" s="186">
        <v>2517.9</v>
      </c>
      <c r="G321" s="186">
        <v>2225.6999999999998</v>
      </c>
      <c r="H321" s="169">
        <f t="shared" si="116"/>
        <v>2386951.96</v>
      </c>
      <c r="I321" s="170">
        <v>0</v>
      </c>
      <c r="J321" s="170">
        <v>0</v>
      </c>
      <c r="K321" s="342">
        <v>2386951.96</v>
      </c>
      <c r="L321" s="170">
        <v>0</v>
      </c>
      <c r="M321" s="170">
        <v>0</v>
      </c>
      <c r="N321" s="170">
        <v>0</v>
      </c>
      <c r="O321" s="170">
        <v>0</v>
      </c>
      <c r="P321" s="170">
        <v>0</v>
      </c>
      <c r="Q321" s="170">
        <v>0</v>
      </c>
      <c r="R321" s="170">
        <v>0</v>
      </c>
      <c r="S321" s="94">
        <f t="shared" si="117"/>
        <v>2386951.96</v>
      </c>
      <c r="T321" s="374">
        <v>2017</v>
      </c>
      <c r="U321" s="374">
        <v>2017</v>
      </c>
      <c r="V321" s="374">
        <f t="shared" si="80"/>
        <v>9</v>
      </c>
      <c r="W321" s="187" t="s">
        <v>318</v>
      </c>
      <c r="X321" s="225" t="s">
        <v>320</v>
      </c>
      <c r="AA321" s="111"/>
    </row>
    <row r="322" spans="1:27" s="23" customFormat="1" ht="18" customHeight="1" x14ac:dyDescent="0.3">
      <c r="A322" s="46">
        <f t="shared" si="118"/>
        <v>292</v>
      </c>
      <c r="B322" s="185" t="s">
        <v>481</v>
      </c>
      <c r="C322" s="144">
        <v>1980</v>
      </c>
      <c r="D322" s="144"/>
      <c r="E322" s="144"/>
      <c r="F322" s="186">
        <v>3542.1</v>
      </c>
      <c r="G322" s="186">
        <v>3131.6</v>
      </c>
      <c r="H322" s="169">
        <f t="shared" si="116"/>
        <v>3932475.38</v>
      </c>
      <c r="I322" s="170">
        <v>0</v>
      </c>
      <c r="J322" s="170">
        <v>0</v>
      </c>
      <c r="K322" s="170">
        <v>0</v>
      </c>
      <c r="L322" s="170">
        <v>0</v>
      </c>
      <c r="M322" s="170">
        <v>3932475.38</v>
      </c>
      <c r="N322" s="170">
        <v>0</v>
      </c>
      <c r="O322" s="170">
        <v>0</v>
      </c>
      <c r="P322" s="170">
        <v>0</v>
      </c>
      <c r="Q322" s="170">
        <v>0</v>
      </c>
      <c r="R322" s="170">
        <v>0</v>
      </c>
      <c r="S322" s="94">
        <f t="shared" ref="S322" si="119">H322</f>
        <v>3932475.38</v>
      </c>
      <c r="T322" s="374">
        <v>2017</v>
      </c>
      <c r="U322" s="374">
        <v>2017</v>
      </c>
      <c r="V322" s="374">
        <f t="shared" si="80"/>
        <v>10</v>
      </c>
      <c r="W322" s="187"/>
      <c r="X322" s="225"/>
      <c r="AA322" s="111"/>
    </row>
    <row r="323" spans="1:27" s="23" customFormat="1" ht="18" customHeight="1" x14ac:dyDescent="0.3">
      <c r="A323" s="46">
        <f t="shared" si="118"/>
        <v>293</v>
      </c>
      <c r="B323" s="185" t="s">
        <v>296</v>
      </c>
      <c r="C323" s="38">
        <v>1978</v>
      </c>
      <c r="D323" s="38"/>
      <c r="E323" s="38"/>
      <c r="F323" s="227">
        <v>2560.3000000000002</v>
      </c>
      <c r="G323" s="227">
        <f>2062.3+162.6</f>
        <v>2224.9</v>
      </c>
      <c r="H323" s="169">
        <f t="shared" si="116"/>
        <v>467255</v>
      </c>
      <c r="I323" s="170">
        <v>0</v>
      </c>
      <c r="J323" s="170">
        <v>0</v>
      </c>
      <c r="K323" s="170">
        <v>0</v>
      </c>
      <c r="L323" s="170">
        <v>0</v>
      </c>
      <c r="M323" s="342">
        <f>467255-O323</f>
        <v>467255</v>
      </c>
      <c r="N323" s="170">
        <v>0</v>
      </c>
      <c r="O323" s="170">
        <v>0</v>
      </c>
      <c r="P323" s="170">
        <v>0</v>
      </c>
      <c r="Q323" s="170">
        <v>0</v>
      </c>
      <c r="R323" s="170">
        <v>0</v>
      </c>
      <c r="S323" s="94">
        <f t="shared" si="117"/>
        <v>467255</v>
      </c>
      <c r="T323" s="374">
        <v>2017</v>
      </c>
      <c r="U323" s="374">
        <v>2017</v>
      </c>
      <c r="V323" s="374">
        <f t="shared" si="80"/>
        <v>11</v>
      </c>
      <c r="W323" s="187" t="s">
        <v>318</v>
      </c>
      <c r="X323" s="374">
        <v>5</v>
      </c>
      <c r="AA323" s="111"/>
    </row>
    <row r="324" spans="1:27" s="23" customFormat="1" ht="18" customHeight="1" x14ac:dyDescent="0.3">
      <c r="A324" s="46">
        <f t="shared" si="118"/>
        <v>294</v>
      </c>
      <c r="B324" s="185" t="s">
        <v>297</v>
      </c>
      <c r="C324" s="38">
        <v>1978</v>
      </c>
      <c r="D324" s="38"/>
      <c r="E324" s="38"/>
      <c r="F324" s="227">
        <v>2345</v>
      </c>
      <c r="G324" s="227">
        <v>2057.8000000000002</v>
      </c>
      <c r="H324" s="169">
        <f t="shared" si="116"/>
        <v>1125352</v>
      </c>
      <c r="I324" s="335">
        <v>650000</v>
      </c>
      <c r="J324" s="170">
        <v>0</v>
      </c>
      <c r="K324" s="335">
        <v>0</v>
      </c>
      <c r="L324" s="170">
        <v>0</v>
      </c>
      <c r="M324" s="342">
        <f>475352</f>
        <v>475352</v>
      </c>
      <c r="N324" s="170">
        <v>0</v>
      </c>
      <c r="O324" s="170">
        <v>0</v>
      </c>
      <c r="P324" s="170">
        <v>0</v>
      </c>
      <c r="Q324" s="170">
        <v>0</v>
      </c>
      <c r="R324" s="170">
        <v>0</v>
      </c>
      <c r="S324" s="94">
        <f t="shared" si="117"/>
        <v>1125352</v>
      </c>
      <c r="T324" s="374">
        <v>2017</v>
      </c>
      <c r="U324" s="374">
        <v>2017</v>
      </c>
      <c r="V324" s="374">
        <f t="shared" si="80"/>
        <v>12</v>
      </c>
      <c r="W324" s="187" t="s">
        <v>318</v>
      </c>
      <c r="X324" s="374">
        <v>5</v>
      </c>
      <c r="Z324" s="111"/>
    </row>
    <row r="325" spans="1:27" s="23" customFormat="1" ht="18" customHeight="1" x14ac:dyDescent="0.3">
      <c r="A325" s="46">
        <f t="shared" si="118"/>
        <v>295</v>
      </c>
      <c r="B325" s="185" t="s">
        <v>309</v>
      </c>
      <c r="C325" s="144">
        <v>1972</v>
      </c>
      <c r="D325" s="144"/>
      <c r="E325" s="144"/>
      <c r="F325" s="186">
        <v>6353.3</v>
      </c>
      <c r="G325" s="186">
        <v>5672.6</v>
      </c>
      <c r="H325" s="169">
        <f t="shared" si="116"/>
        <v>1778122.1</v>
      </c>
      <c r="I325" s="170">
        <v>0</v>
      </c>
      <c r="J325" s="170">
        <v>0</v>
      </c>
      <c r="K325" s="327">
        <f>1778122.1</f>
        <v>1778122.1</v>
      </c>
      <c r="L325" s="170">
        <v>0</v>
      </c>
      <c r="M325" s="170">
        <v>0</v>
      </c>
      <c r="N325" s="170">
        <v>0</v>
      </c>
      <c r="O325" s="170">
        <v>0</v>
      </c>
      <c r="P325" s="170">
        <v>0</v>
      </c>
      <c r="Q325" s="170">
        <v>0</v>
      </c>
      <c r="R325" s="170">
        <v>0</v>
      </c>
      <c r="S325" s="94">
        <f t="shared" si="117"/>
        <v>1778122.1</v>
      </c>
      <c r="T325" s="374">
        <v>2017</v>
      </c>
      <c r="U325" s="374">
        <v>2017</v>
      </c>
      <c r="V325" s="374">
        <f t="shared" si="80"/>
        <v>13</v>
      </c>
      <c r="W325" s="187" t="s">
        <v>319</v>
      </c>
      <c r="X325" s="374">
        <v>5</v>
      </c>
      <c r="Z325" s="111">
        <v>1072.45</v>
      </c>
    </row>
    <row r="326" spans="1:27" s="23" customFormat="1" ht="18" customHeight="1" x14ac:dyDescent="0.3">
      <c r="A326" s="46">
        <f t="shared" si="118"/>
        <v>296</v>
      </c>
      <c r="B326" s="343" t="s">
        <v>459</v>
      </c>
      <c r="C326" s="38">
        <v>1962</v>
      </c>
      <c r="D326" s="38"/>
      <c r="E326" s="38"/>
      <c r="F326" s="224">
        <v>1197.3</v>
      </c>
      <c r="G326" s="224">
        <v>1020.1</v>
      </c>
      <c r="H326" s="169">
        <f t="shared" si="116"/>
        <v>1861621.29</v>
      </c>
      <c r="I326" s="170">
        <v>0</v>
      </c>
      <c r="J326" s="170">
        <v>0</v>
      </c>
      <c r="K326" s="37">
        <v>1861621.29</v>
      </c>
      <c r="L326" s="170">
        <v>0</v>
      </c>
      <c r="M326" s="170">
        <v>0</v>
      </c>
      <c r="N326" s="170">
        <v>0</v>
      </c>
      <c r="O326" s="170">
        <v>0</v>
      </c>
      <c r="P326" s="170">
        <v>0</v>
      </c>
      <c r="Q326" s="170">
        <v>0</v>
      </c>
      <c r="R326" s="170">
        <v>0</v>
      </c>
      <c r="S326" s="44">
        <f t="shared" si="117"/>
        <v>1861621.29</v>
      </c>
      <c r="T326" s="374">
        <v>2017</v>
      </c>
      <c r="U326" s="374">
        <v>2017</v>
      </c>
      <c r="V326" s="374">
        <f t="shared" si="80"/>
        <v>14</v>
      </c>
      <c r="W326" s="187" t="s">
        <v>142</v>
      </c>
      <c r="X326" s="374">
        <v>7</v>
      </c>
      <c r="Z326" s="111"/>
    </row>
    <row r="327" spans="1:27" s="23" customFormat="1" ht="18" customHeight="1" x14ac:dyDescent="0.3">
      <c r="A327" s="46">
        <f t="shared" si="118"/>
        <v>297</v>
      </c>
      <c r="B327" s="185" t="s">
        <v>120</v>
      </c>
      <c r="C327" s="144">
        <v>1988</v>
      </c>
      <c r="D327" s="144"/>
      <c r="E327" s="144"/>
      <c r="F327" s="186">
        <v>5635.6</v>
      </c>
      <c r="G327" s="186">
        <v>4965.2</v>
      </c>
      <c r="H327" s="169">
        <f t="shared" si="116"/>
        <v>600000</v>
      </c>
      <c r="I327" s="342">
        <f>600000-O327</f>
        <v>600000</v>
      </c>
      <c r="J327" s="170">
        <v>0</v>
      </c>
      <c r="K327" s="335">
        <v>0</v>
      </c>
      <c r="L327" s="170">
        <v>0</v>
      </c>
      <c r="M327" s="170">
        <v>0</v>
      </c>
      <c r="N327" s="170">
        <v>0</v>
      </c>
      <c r="O327" s="170">
        <v>0</v>
      </c>
      <c r="P327" s="170">
        <v>0</v>
      </c>
      <c r="Q327" s="170">
        <v>0</v>
      </c>
      <c r="R327" s="170">
        <v>0</v>
      </c>
      <c r="S327" s="94">
        <f t="shared" si="117"/>
        <v>600000</v>
      </c>
      <c r="T327" s="374">
        <v>2017</v>
      </c>
      <c r="U327" s="374">
        <v>2017</v>
      </c>
      <c r="V327" s="374">
        <f t="shared" si="80"/>
        <v>15</v>
      </c>
      <c r="W327" s="187" t="s">
        <v>318</v>
      </c>
      <c r="X327" s="374">
        <v>5</v>
      </c>
      <c r="Y327" s="295">
        <f>(716.06+293.24)/2</f>
        <v>504.65</v>
      </c>
      <c r="Z327" s="111"/>
    </row>
    <row r="328" spans="1:27" s="23" customFormat="1" ht="18" customHeight="1" x14ac:dyDescent="0.3">
      <c r="A328" s="46">
        <f t="shared" si="118"/>
        <v>298</v>
      </c>
      <c r="B328" s="185" t="s">
        <v>306</v>
      </c>
      <c r="C328" s="144">
        <v>1972</v>
      </c>
      <c r="D328" s="144"/>
      <c r="E328" s="144"/>
      <c r="F328" s="186">
        <v>4274.3999999999996</v>
      </c>
      <c r="G328" s="186">
        <v>3950.3</v>
      </c>
      <c r="H328" s="169">
        <f t="shared" si="116"/>
        <v>3400000</v>
      </c>
      <c r="I328" s="170">
        <v>0</v>
      </c>
      <c r="J328" s="170">
        <v>0</v>
      </c>
      <c r="K328" s="335">
        <v>0</v>
      </c>
      <c r="L328" s="170">
        <v>0</v>
      </c>
      <c r="M328" s="170">
        <f>3400000-O328</f>
        <v>3400000</v>
      </c>
      <c r="N328" s="170">
        <v>0</v>
      </c>
      <c r="O328" s="170">
        <v>0</v>
      </c>
      <c r="P328" s="170">
        <v>0</v>
      </c>
      <c r="Q328" s="170">
        <v>0</v>
      </c>
      <c r="R328" s="170">
        <v>0</v>
      </c>
      <c r="S328" s="94">
        <f t="shared" si="117"/>
        <v>3400000</v>
      </c>
      <c r="T328" s="374">
        <v>2017</v>
      </c>
      <c r="U328" s="374">
        <v>2017</v>
      </c>
      <c r="V328" s="374">
        <f t="shared" si="80"/>
        <v>16</v>
      </c>
      <c r="W328" s="187" t="s">
        <v>142</v>
      </c>
      <c r="X328" s="374">
        <v>5</v>
      </c>
      <c r="Z328" s="111"/>
      <c r="AA328" s="23">
        <v>882.1</v>
      </c>
    </row>
    <row r="329" spans="1:27" s="23" customFormat="1" ht="18" customHeight="1" x14ac:dyDescent="0.3">
      <c r="A329" s="46">
        <f t="shared" si="118"/>
        <v>299</v>
      </c>
      <c r="B329" s="185" t="s">
        <v>121</v>
      </c>
      <c r="C329" s="144">
        <v>1969</v>
      </c>
      <c r="D329" s="144"/>
      <c r="E329" s="144"/>
      <c r="F329" s="186">
        <v>4451.8999999999996</v>
      </c>
      <c r="G329" s="186">
        <v>4160.2</v>
      </c>
      <c r="H329" s="169">
        <f t="shared" si="116"/>
        <v>1000000</v>
      </c>
      <c r="I329" s="342">
        <f>1000000-O329</f>
        <v>1000000</v>
      </c>
      <c r="J329" s="170">
        <v>0</v>
      </c>
      <c r="K329" s="335">
        <v>0</v>
      </c>
      <c r="L329" s="170">
        <v>0</v>
      </c>
      <c r="M329" s="170">
        <v>0</v>
      </c>
      <c r="N329" s="170">
        <v>0</v>
      </c>
      <c r="O329" s="170">
        <v>0</v>
      </c>
      <c r="P329" s="170">
        <v>0</v>
      </c>
      <c r="Q329" s="170">
        <v>0</v>
      </c>
      <c r="R329" s="170">
        <v>0</v>
      </c>
      <c r="S329" s="94">
        <f t="shared" si="117"/>
        <v>1000000</v>
      </c>
      <c r="T329" s="374">
        <v>2017</v>
      </c>
      <c r="U329" s="374">
        <v>2017</v>
      </c>
      <c r="V329" s="374">
        <f t="shared" si="80"/>
        <v>17</v>
      </c>
      <c r="W329" s="187" t="s">
        <v>142</v>
      </c>
      <c r="X329" s="374">
        <v>6</v>
      </c>
      <c r="Y329" s="23">
        <f>(518.04+215)/2</f>
        <v>366.52</v>
      </c>
      <c r="Z329" s="111"/>
    </row>
    <row r="330" spans="1:27" s="23" customFormat="1" ht="18" customHeight="1" x14ac:dyDescent="0.3">
      <c r="A330" s="46">
        <f t="shared" si="118"/>
        <v>300</v>
      </c>
      <c r="B330" s="185" t="s">
        <v>314</v>
      </c>
      <c r="C330" s="144">
        <v>1981</v>
      </c>
      <c r="D330" s="144"/>
      <c r="E330" s="144"/>
      <c r="F330" s="186">
        <v>14067.3</v>
      </c>
      <c r="G330" s="186">
        <v>12346</v>
      </c>
      <c r="H330" s="169">
        <f t="shared" si="116"/>
        <v>700000</v>
      </c>
      <c r="I330" s="327">
        <f>700000-O330</f>
        <v>700000</v>
      </c>
      <c r="J330" s="170">
        <v>0</v>
      </c>
      <c r="K330" s="170">
        <v>0</v>
      </c>
      <c r="L330" s="170">
        <v>0</v>
      </c>
      <c r="M330" s="170">
        <v>0</v>
      </c>
      <c r="N330" s="170">
        <v>0</v>
      </c>
      <c r="O330" s="170">
        <v>0</v>
      </c>
      <c r="P330" s="170">
        <v>0</v>
      </c>
      <c r="Q330" s="170">
        <v>0</v>
      </c>
      <c r="R330" s="170">
        <v>0</v>
      </c>
      <c r="S330" s="94">
        <f t="shared" si="117"/>
        <v>700000</v>
      </c>
      <c r="T330" s="374">
        <v>2017</v>
      </c>
      <c r="U330" s="374">
        <v>2017</v>
      </c>
      <c r="V330" s="374">
        <f t="shared" si="80"/>
        <v>18</v>
      </c>
      <c r="W330" s="187" t="s">
        <v>319</v>
      </c>
      <c r="X330" s="374">
        <v>9</v>
      </c>
      <c r="Y330" s="125">
        <f>(716.06+293.24)/2</f>
        <v>504.65</v>
      </c>
    </row>
    <row r="331" spans="1:27" s="23" customFormat="1" ht="18" customHeight="1" x14ac:dyDescent="0.3">
      <c r="A331" s="46">
        <f t="shared" si="118"/>
        <v>301</v>
      </c>
      <c r="B331" s="185" t="s">
        <v>315</v>
      </c>
      <c r="C331" s="144">
        <v>1979</v>
      </c>
      <c r="D331" s="144"/>
      <c r="E331" s="144"/>
      <c r="F331" s="186">
        <v>7732.7</v>
      </c>
      <c r="G331" s="186">
        <v>6753.5</v>
      </c>
      <c r="H331" s="169">
        <f t="shared" si="116"/>
        <v>1000000</v>
      </c>
      <c r="I331" s="327">
        <f>1000000-O331</f>
        <v>1000000</v>
      </c>
      <c r="J331" s="170">
        <v>0</v>
      </c>
      <c r="K331" s="170">
        <v>0</v>
      </c>
      <c r="L331" s="170">
        <v>0</v>
      </c>
      <c r="M331" s="170">
        <v>0</v>
      </c>
      <c r="N331" s="170">
        <v>0</v>
      </c>
      <c r="O331" s="170">
        <v>0</v>
      </c>
      <c r="P331" s="170">
        <v>0</v>
      </c>
      <c r="Q331" s="170">
        <v>0</v>
      </c>
      <c r="R331" s="170">
        <v>0</v>
      </c>
      <c r="S331" s="94">
        <f t="shared" si="117"/>
        <v>1000000</v>
      </c>
      <c r="T331" s="374">
        <v>2017</v>
      </c>
      <c r="U331" s="374">
        <v>2017</v>
      </c>
      <c r="V331" s="374">
        <f t="shared" si="80"/>
        <v>19</v>
      </c>
      <c r="W331" s="187" t="s">
        <v>318</v>
      </c>
      <c r="X331" s="374">
        <v>9</v>
      </c>
      <c r="Y331" s="125">
        <f>(716.06+293.24)/2</f>
        <v>504.65</v>
      </c>
    </row>
    <row r="332" spans="1:27" s="23" customFormat="1" ht="18" customHeight="1" x14ac:dyDescent="0.3">
      <c r="A332" s="46">
        <f t="shared" si="118"/>
        <v>302</v>
      </c>
      <c r="B332" s="185" t="s">
        <v>305</v>
      </c>
      <c r="C332" s="144">
        <v>1988</v>
      </c>
      <c r="D332" s="144"/>
      <c r="E332" s="144"/>
      <c r="F332" s="186">
        <v>3945.2</v>
      </c>
      <c r="G332" s="186">
        <v>3451.3</v>
      </c>
      <c r="H332" s="169">
        <f t="shared" si="116"/>
        <v>1474567.93</v>
      </c>
      <c r="I332" s="335">
        <v>0</v>
      </c>
      <c r="J332" s="170">
        <v>0</v>
      </c>
      <c r="K332" s="170">
        <v>0</v>
      </c>
      <c r="L332" s="170">
        <v>0</v>
      </c>
      <c r="M332" s="342">
        <f>1474567.93</f>
        <v>1474567.93</v>
      </c>
      <c r="N332" s="170">
        <v>0</v>
      </c>
      <c r="O332" s="170">
        <v>0</v>
      </c>
      <c r="P332" s="170">
        <v>0</v>
      </c>
      <c r="Q332" s="170">
        <v>0</v>
      </c>
      <c r="R332" s="170">
        <v>0</v>
      </c>
      <c r="S332" s="94">
        <f t="shared" si="117"/>
        <v>1474567.93</v>
      </c>
      <c r="T332" s="374">
        <v>2017</v>
      </c>
      <c r="U332" s="374">
        <v>2017</v>
      </c>
      <c r="V332" s="374">
        <f t="shared" si="80"/>
        <v>20</v>
      </c>
      <c r="W332" s="187" t="s">
        <v>318</v>
      </c>
      <c r="X332" s="188">
        <v>9</v>
      </c>
      <c r="Y332" s="111"/>
      <c r="AA332" s="23">
        <v>1255.74</v>
      </c>
    </row>
    <row r="333" spans="1:27" s="23" customFormat="1" ht="18" customHeight="1" x14ac:dyDescent="0.3">
      <c r="A333" s="46">
        <f t="shared" si="118"/>
        <v>303</v>
      </c>
      <c r="B333" s="185" t="s">
        <v>331</v>
      </c>
      <c r="C333" s="144">
        <v>1958</v>
      </c>
      <c r="D333" s="144"/>
      <c r="E333" s="144"/>
      <c r="F333" s="186">
        <v>2773.9</v>
      </c>
      <c r="G333" s="186">
        <v>2534.1999999999998</v>
      </c>
      <c r="H333" s="169">
        <f t="shared" si="116"/>
        <v>600000</v>
      </c>
      <c r="I333" s="327">
        <f>600000-O333</f>
        <v>600000</v>
      </c>
      <c r="J333" s="170">
        <v>0</v>
      </c>
      <c r="K333" s="170">
        <v>0</v>
      </c>
      <c r="L333" s="170">
        <v>0</v>
      </c>
      <c r="M333" s="170">
        <v>0</v>
      </c>
      <c r="N333" s="170">
        <v>0</v>
      </c>
      <c r="O333" s="170">
        <v>0</v>
      </c>
      <c r="P333" s="170">
        <v>0</v>
      </c>
      <c r="Q333" s="170">
        <v>0</v>
      </c>
      <c r="R333" s="170">
        <v>0</v>
      </c>
      <c r="S333" s="94">
        <f t="shared" si="117"/>
        <v>600000</v>
      </c>
      <c r="T333" s="374">
        <v>2017</v>
      </c>
      <c r="U333" s="374">
        <v>2017</v>
      </c>
      <c r="V333" s="374">
        <f t="shared" si="80"/>
        <v>21</v>
      </c>
      <c r="W333" s="187" t="s">
        <v>142</v>
      </c>
      <c r="X333" s="374">
        <v>4</v>
      </c>
      <c r="Y333" s="111">
        <f>(518.04+215)/2</f>
        <v>366.52</v>
      </c>
    </row>
    <row r="334" spans="1:27" s="23" customFormat="1" ht="18" customHeight="1" x14ac:dyDescent="0.3">
      <c r="A334" s="46">
        <f t="shared" si="118"/>
        <v>304</v>
      </c>
      <c r="B334" s="185" t="s">
        <v>52</v>
      </c>
      <c r="C334" s="144">
        <v>1956</v>
      </c>
      <c r="D334" s="144"/>
      <c r="E334" s="144"/>
      <c r="F334" s="186">
        <v>8299.7000000000007</v>
      </c>
      <c r="G334" s="186">
        <v>7630.3</v>
      </c>
      <c r="H334" s="169">
        <f t="shared" si="116"/>
        <v>600000</v>
      </c>
      <c r="I334" s="327">
        <f>600000-O334</f>
        <v>600000</v>
      </c>
      <c r="J334" s="170">
        <v>0</v>
      </c>
      <c r="K334" s="170">
        <v>0</v>
      </c>
      <c r="L334" s="170">
        <v>0</v>
      </c>
      <c r="M334" s="170">
        <v>0</v>
      </c>
      <c r="N334" s="170">
        <v>0</v>
      </c>
      <c r="O334" s="170">
        <v>0</v>
      </c>
      <c r="P334" s="170">
        <v>0</v>
      </c>
      <c r="Q334" s="170">
        <v>0</v>
      </c>
      <c r="R334" s="170">
        <v>0</v>
      </c>
      <c r="S334" s="94">
        <f t="shared" si="117"/>
        <v>600000</v>
      </c>
      <c r="T334" s="374">
        <v>2017</v>
      </c>
      <c r="U334" s="374">
        <v>2017</v>
      </c>
      <c r="V334" s="374">
        <f t="shared" si="80"/>
        <v>22</v>
      </c>
      <c r="W334" s="187" t="s">
        <v>142</v>
      </c>
      <c r="X334" s="374">
        <v>4</v>
      </c>
      <c r="Y334" s="111">
        <f>(518.04+215)/2</f>
        <v>366.52</v>
      </c>
    </row>
    <row r="335" spans="1:27" s="23" customFormat="1" ht="18" customHeight="1" x14ac:dyDescent="0.3">
      <c r="A335" s="46">
        <f t="shared" si="118"/>
        <v>305</v>
      </c>
      <c r="B335" s="185" t="s">
        <v>310</v>
      </c>
      <c r="C335" s="144">
        <v>1960</v>
      </c>
      <c r="D335" s="144"/>
      <c r="E335" s="144"/>
      <c r="F335" s="186">
        <v>2004.7</v>
      </c>
      <c r="G335" s="186">
        <v>1882.3</v>
      </c>
      <c r="H335" s="169">
        <f t="shared" si="116"/>
        <v>3435084.56</v>
      </c>
      <c r="I335" s="335">
        <v>0</v>
      </c>
      <c r="J335" s="170">
        <v>0</v>
      </c>
      <c r="K335" s="342">
        <v>3435084.56</v>
      </c>
      <c r="L335" s="170">
        <v>0</v>
      </c>
      <c r="M335" s="170">
        <v>0</v>
      </c>
      <c r="N335" s="170">
        <v>0</v>
      </c>
      <c r="O335" s="170">
        <v>0</v>
      </c>
      <c r="P335" s="170">
        <v>0</v>
      </c>
      <c r="Q335" s="170">
        <v>0</v>
      </c>
      <c r="R335" s="170">
        <v>0</v>
      </c>
      <c r="S335" s="94">
        <f t="shared" si="117"/>
        <v>3435084.56</v>
      </c>
      <c r="T335" s="374">
        <v>2017</v>
      </c>
      <c r="U335" s="374">
        <v>2017</v>
      </c>
      <c r="V335" s="374">
        <f t="shared" si="80"/>
        <v>23</v>
      </c>
      <c r="W335" s="187" t="s">
        <v>142</v>
      </c>
      <c r="X335" s="374">
        <v>6</v>
      </c>
      <c r="Y335" s="111"/>
      <c r="Z335" s="23">
        <v>1056.1500000000001</v>
      </c>
    </row>
    <row r="336" spans="1:27" s="23" customFormat="1" ht="18" customHeight="1" x14ac:dyDescent="0.3">
      <c r="A336" s="46">
        <f t="shared" si="118"/>
        <v>306</v>
      </c>
      <c r="B336" s="185" t="s">
        <v>347</v>
      </c>
      <c r="C336" s="144">
        <v>1938</v>
      </c>
      <c r="D336" s="144" t="s">
        <v>444</v>
      </c>
      <c r="E336" s="144"/>
      <c r="F336" s="186">
        <v>1359.5</v>
      </c>
      <c r="G336" s="186">
        <v>1258.5</v>
      </c>
      <c r="H336" s="169">
        <f t="shared" si="116"/>
        <v>2296686.9900000002</v>
      </c>
      <c r="I336" s="335">
        <v>0</v>
      </c>
      <c r="J336" s="170">
        <v>0</v>
      </c>
      <c r="K336" s="170">
        <v>2296686.9900000002</v>
      </c>
      <c r="L336" s="170">
        <v>0</v>
      </c>
      <c r="M336" s="170">
        <v>0</v>
      </c>
      <c r="N336" s="170">
        <v>0</v>
      </c>
      <c r="O336" s="170">
        <v>0</v>
      </c>
      <c r="P336" s="170">
        <v>0</v>
      </c>
      <c r="Q336" s="170">
        <v>0</v>
      </c>
      <c r="R336" s="170">
        <v>0</v>
      </c>
      <c r="S336" s="94">
        <f t="shared" si="117"/>
        <v>2296686.9900000002</v>
      </c>
      <c r="T336" s="374">
        <v>2017</v>
      </c>
      <c r="U336" s="374">
        <v>2017</v>
      </c>
      <c r="V336" s="374">
        <f t="shared" si="80"/>
        <v>24</v>
      </c>
      <c r="W336" s="187" t="s">
        <v>142</v>
      </c>
      <c r="X336" s="188">
        <v>3</v>
      </c>
      <c r="Y336" s="111"/>
      <c r="AA336" s="2" t="s">
        <v>443</v>
      </c>
    </row>
    <row r="337" spans="1:27" s="23" customFormat="1" ht="18" customHeight="1" x14ac:dyDescent="0.3">
      <c r="A337" s="46">
        <f t="shared" si="118"/>
        <v>307</v>
      </c>
      <c r="B337" s="185" t="s">
        <v>307</v>
      </c>
      <c r="C337" s="144">
        <v>1991</v>
      </c>
      <c r="D337" s="144"/>
      <c r="E337" s="144"/>
      <c r="F337" s="186">
        <v>4512.8999999999996</v>
      </c>
      <c r="G337" s="186">
        <v>3925.1</v>
      </c>
      <c r="H337" s="169">
        <f t="shared" si="116"/>
        <v>2762249.87</v>
      </c>
      <c r="I337" s="335">
        <v>0</v>
      </c>
      <c r="J337" s="170">
        <v>0</v>
      </c>
      <c r="K337" s="342">
        <v>2762249.87</v>
      </c>
      <c r="L337" s="170">
        <v>0</v>
      </c>
      <c r="M337" s="170">
        <v>0</v>
      </c>
      <c r="N337" s="170">
        <v>0</v>
      </c>
      <c r="O337" s="170">
        <v>0</v>
      </c>
      <c r="P337" s="170">
        <v>0</v>
      </c>
      <c r="Q337" s="170">
        <v>0</v>
      </c>
      <c r="R337" s="170">
        <v>0</v>
      </c>
      <c r="S337" s="94">
        <f t="shared" si="117"/>
        <v>2762249.87</v>
      </c>
      <c r="T337" s="374">
        <v>2017</v>
      </c>
      <c r="U337" s="374">
        <v>2017</v>
      </c>
      <c r="V337" s="374">
        <f t="shared" si="80"/>
        <v>25</v>
      </c>
      <c r="W337" s="187" t="s">
        <v>318</v>
      </c>
      <c r="X337" s="374">
        <v>9</v>
      </c>
      <c r="Y337" s="111"/>
      <c r="Z337" s="23">
        <v>703.74</v>
      </c>
    </row>
    <row r="338" spans="1:27" s="23" customFormat="1" ht="18" customHeight="1" x14ac:dyDescent="0.3">
      <c r="A338" s="46">
        <f t="shared" si="118"/>
        <v>308</v>
      </c>
      <c r="B338" s="185" t="s">
        <v>308</v>
      </c>
      <c r="C338" s="144">
        <v>1985</v>
      </c>
      <c r="D338" s="144"/>
      <c r="E338" s="144"/>
      <c r="F338" s="186">
        <v>2331.8000000000002</v>
      </c>
      <c r="G338" s="186">
        <v>2045.8</v>
      </c>
      <c r="H338" s="169">
        <f t="shared" si="116"/>
        <v>2194018.21</v>
      </c>
      <c r="I338" s="335">
        <v>0</v>
      </c>
      <c r="J338" s="170">
        <v>0</v>
      </c>
      <c r="K338" s="342">
        <f>2194018.21</f>
        <v>2194018.21</v>
      </c>
      <c r="L338" s="170">
        <v>0</v>
      </c>
      <c r="M338" s="170">
        <v>0</v>
      </c>
      <c r="N338" s="170">
        <v>0</v>
      </c>
      <c r="O338" s="170">
        <v>0</v>
      </c>
      <c r="P338" s="170">
        <v>0</v>
      </c>
      <c r="Q338" s="170">
        <v>0</v>
      </c>
      <c r="R338" s="170">
        <v>0</v>
      </c>
      <c r="S338" s="94">
        <f t="shared" si="117"/>
        <v>2194018.21</v>
      </c>
      <c r="T338" s="374">
        <v>2017</v>
      </c>
      <c r="U338" s="374">
        <v>2017</v>
      </c>
      <c r="V338" s="374">
        <f t="shared" si="80"/>
        <v>26</v>
      </c>
      <c r="W338" s="187" t="s">
        <v>318</v>
      </c>
      <c r="X338" s="374">
        <v>5</v>
      </c>
      <c r="Y338" s="111"/>
      <c r="Z338" s="23">
        <v>1072.45</v>
      </c>
    </row>
    <row r="339" spans="1:27" s="23" customFormat="1" ht="18" customHeight="1" x14ac:dyDescent="0.3">
      <c r="A339" s="46">
        <f t="shared" si="118"/>
        <v>309</v>
      </c>
      <c r="B339" s="344" t="s">
        <v>316</v>
      </c>
      <c r="C339" s="144">
        <v>1981</v>
      </c>
      <c r="D339" s="144"/>
      <c r="E339" s="144"/>
      <c r="F339" s="186">
        <v>6309</v>
      </c>
      <c r="G339" s="186">
        <v>5541.1</v>
      </c>
      <c r="H339" s="169">
        <f t="shared" si="116"/>
        <v>500000</v>
      </c>
      <c r="I339" s="342">
        <f>500000-O339</f>
        <v>500000</v>
      </c>
      <c r="J339" s="170">
        <v>0</v>
      </c>
      <c r="K339" s="69">
        <v>0</v>
      </c>
      <c r="L339" s="170">
        <v>0</v>
      </c>
      <c r="M339" s="170">
        <v>0</v>
      </c>
      <c r="N339" s="170">
        <v>0</v>
      </c>
      <c r="O339" s="170">
        <v>0</v>
      </c>
      <c r="P339" s="170">
        <v>0</v>
      </c>
      <c r="Q339" s="170">
        <v>0</v>
      </c>
      <c r="R339" s="170">
        <v>0</v>
      </c>
      <c r="S339" s="94">
        <f t="shared" si="117"/>
        <v>500000</v>
      </c>
      <c r="T339" s="374">
        <v>2017</v>
      </c>
      <c r="U339" s="374">
        <v>2017</v>
      </c>
      <c r="V339" s="374">
        <f t="shared" si="80"/>
        <v>27</v>
      </c>
      <c r="W339" s="187" t="s">
        <v>318</v>
      </c>
      <c r="X339" s="374">
        <v>5</v>
      </c>
      <c r="Y339" s="295">
        <f>(716.06+293.24)/2</f>
        <v>504.65</v>
      </c>
    </row>
    <row r="340" spans="1:27" s="23" customFormat="1" ht="18" customHeight="1" x14ac:dyDescent="0.3">
      <c r="A340" s="46">
        <f t="shared" si="118"/>
        <v>310</v>
      </c>
      <c r="B340" s="185" t="s">
        <v>311</v>
      </c>
      <c r="C340" s="144">
        <v>1978</v>
      </c>
      <c r="D340" s="144"/>
      <c r="E340" s="144"/>
      <c r="F340" s="186">
        <v>7952.7</v>
      </c>
      <c r="G340" s="186">
        <v>6980.7</v>
      </c>
      <c r="H340" s="169">
        <f t="shared" si="116"/>
        <v>2191015.35</v>
      </c>
      <c r="I340" s="170">
        <v>0</v>
      </c>
      <c r="J340" s="170">
        <v>0</v>
      </c>
      <c r="K340" s="37">
        <f>2191015.35</f>
        <v>2191015.35</v>
      </c>
      <c r="L340" s="170">
        <v>0</v>
      </c>
      <c r="M340" s="170">
        <v>0</v>
      </c>
      <c r="N340" s="170">
        <v>0</v>
      </c>
      <c r="O340" s="170">
        <v>0</v>
      </c>
      <c r="P340" s="170">
        <v>0</v>
      </c>
      <c r="Q340" s="170">
        <v>0</v>
      </c>
      <c r="R340" s="170">
        <v>0</v>
      </c>
      <c r="S340" s="94">
        <f t="shared" si="117"/>
        <v>2191015.35</v>
      </c>
      <c r="T340" s="374">
        <v>2017</v>
      </c>
      <c r="U340" s="374">
        <v>2017</v>
      </c>
      <c r="V340" s="374">
        <f t="shared" ref="V340:V362" si="120">V339+1</f>
        <v>28</v>
      </c>
      <c r="W340" s="187" t="s">
        <v>318</v>
      </c>
      <c r="X340" s="374">
        <v>5</v>
      </c>
      <c r="Z340" s="23">
        <v>1072.45</v>
      </c>
    </row>
    <row r="341" spans="1:27" s="23" customFormat="1" ht="18" customHeight="1" x14ac:dyDescent="0.3">
      <c r="A341" s="46">
        <f t="shared" si="118"/>
        <v>311</v>
      </c>
      <c r="B341" s="185" t="s">
        <v>312</v>
      </c>
      <c r="C341" s="144">
        <v>1972</v>
      </c>
      <c r="D341" s="144"/>
      <c r="E341" s="144"/>
      <c r="F341" s="186">
        <v>4528</v>
      </c>
      <c r="G341" s="186">
        <v>4203.8999999999996</v>
      </c>
      <c r="H341" s="169">
        <f t="shared" si="116"/>
        <v>700000</v>
      </c>
      <c r="I341" s="342">
        <f>700000-O341</f>
        <v>700000</v>
      </c>
      <c r="J341" s="170">
        <v>0</v>
      </c>
      <c r="K341" s="69">
        <v>0</v>
      </c>
      <c r="L341" s="170">
        <v>0</v>
      </c>
      <c r="M341" s="170">
        <v>0</v>
      </c>
      <c r="N341" s="170">
        <v>0</v>
      </c>
      <c r="O341" s="170">
        <v>0</v>
      </c>
      <c r="P341" s="170">
        <v>0</v>
      </c>
      <c r="Q341" s="170">
        <v>0</v>
      </c>
      <c r="R341" s="170">
        <v>0</v>
      </c>
      <c r="S341" s="94">
        <f t="shared" si="117"/>
        <v>700000</v>
      </c>
      <c r="T341" s="374">
        <v>2017</v>
      </c>
      <c r="U341" s="374">
        <v>2017</v>
      </c>
      <c r="V341" s="374">
        <f t="shared" si="120"/>
        <v>29</v>
      </c>
      <c r="W341" s="187" t="s">
        <v>142</v>
      </c>
      <c r="X341" s="374">
        <v>5</v>
      </c>
      <c r="Y341" s="23">
        <f>(518.04+215)/2</f>
        <v>366.52</v>
      </c>
    </row>
    <row r="342" spans="1:27" s="23" customFormat="1" ht="18" customHeight="1" x14ac:dyDescent="0.3">
      <c r="A342" s="46">
        <f t="shared" si="118"/>
        <v>312</v>
      </c>
      <c r="B342" s="185" t="s">
        <v>313</v>
      </c>
      <c r="C342" s="144">
        <v>1972</v>
      </c>
      <c r="D342" s="144"/>
      <c r="E342" s="144"/>
      <c r="F342" s="186">
        <v>4349.8999999999996</v>
      </c>
      <c r="G342" s="186">
        <v>3995.7</v>
      </c>
      <c r="H342" s="169">
        <f t="shared" si="116"/>
        <v>900000</v>
      </c>
      <c r="I342" s="342">
        <f>900000-O342</f>
        <v>900000</v>
      </c>
      <c r="J342" s="170">
        <v>0</v>
      </c>
      <c r="K342" s="69">
        <v>0</v>
      </c>
      <c r="L342" s="170">
        <v>0</v>
      </c>
      <c r="M342" s="170">
        <v>0</v>
      </c>
      <c r="N342" s="170">
        <v>0</v>
      </c>
      <c r="O342" s="170">
        <v>0</v>
      </c>
      <c r="P342" s="170">
        <v>0</v>
      </c>
      <c r="Q342" s="170">
        <v>0</v>
      </c>
      <c r="R342" s="170">
        <v>0</v>
      </c>
      <c r="S342" s="94">
        <f t="shared" si="117"/>
        <v>900000</v>
      </c>
      <c r="T342" s="374">
        <v>2017</v>
      </c>
      <c r="U342" s="374">
        <v>2017</v>
      </c>
      <c r="V342" s="374">
        <f t="shared" si="120"/>
        <v>30</v>
      </c>
      <c r="W342" s="187" t="s">
        <v>319</v>
      </c>
      <c r="X342" s="374">
        <v>5</v>
      </c>
      <c r="Y342" s="295">
        <f>(716.06+293.24)/2</f>
        <v>504.65</v>
      </c>
    </row>
    <row r="343" spans="1:27" s="23" customFormat="1" ht="18" customHeight="1" x14ac:dyDescent="0.3">
      <c r="A343" s="46">
        <f t="shared" si="118"/>
        <v>313</v>
      </c>
      <c r="B343" s="185" t="s">
        <v>299</v>
      </c>
      <c r="C343" s="38">
        <v>1991</v>
      </c>
      <c r="D343" s="38"/>
      <c r="E343" s="38"/>
      <c r="F343" s="227">
        <v>6432.4</v>
      </c>
      <c r="G343" s="227">
        <v>5529.3</v>
      </c>
      <c r="H343" s="169">
        <f t="shared" si="116"/>
        <v>3891189.58</v>
      </c>
      <c r="I343" s="170">
        <v>0</v>
      </c>
      <c r="J343" s="170">
        <v>0</v>
      </c>
      <c r="K343" s="37">
        <f>3891189.58</f>
        <v>3891189.58</v>
      </c>
      <c r="L343" s="170">
        <v>0</v>
      </c>
      <c r="M343" s="69">
        <v>0</v>
      </c>
      <c r="N343" s="170">
        <v>0</v>
      </c>
      <c r="O343" s="170">
        <v>0</v>
      </c>
      <c r="P343" s="170">
        <v>0</v>
      </c>
      <c r="Q343" s="170">
        <v>0</v>
      </c>
      <c r="R343" s="170">
        <v>0</v>
      </c>
      <c r="S343" s="94">
        <f t="shared" si="117"/>
        <v>3891189.58</v>
      </c>
      <c r="T343" s="374">
        <v>2017</v>
      </c>
      <c r="U343" s="374">
        <v>2017</v>
      </c>
      <c r="V343" s="374">
        <f t="shared" si="120"/>
        <v>31</v>
      </c>
      <c r="W343" s="187" t="s">
        <v>318</v>
      </c>
      <c r="X343" s="374">
        <v>9</v>
      </c>
      <c r="Z343" s="23">
        <v>703.74</v>
      </c>
    </row>
    <row r="344" spans="1:27" s="23" customFormat="1" ht="18" customHeight="1" x14ac:dyDescent="0.3">
      <c r="A344" s="46">
        <f t="shared" si="118"/>
        <v>314</v>
      </c>
      <c r="B344" s="185" t="s">
        <v>482</v>
      </c>
      <c r="C344" s="144">
        <v>1975</v>
      </c>
      <c r="D344" s="144"/>
      <c r="E344" s="144"/>
      <c r="F344" s="186">
        <v>2550.3000000000002</v>
      </c>
      <c r="G344" s="186">
        <v>2193.9</v>
      </c>
      <c r="H344" s="169">
        <f t="shared" si="116"/>
        <v>2223868.67</v>
      </c>
      <c r="I344" s="170">
        <v>0</v>
      </c>
      <c r="J344" s="170">
        <v>0</v>
      </c>
      <c r="K344" s="37">
        <f>2223868.67-O344</f>
        <v>2223868.67</v>
      </c>
      <c r="L344" s="170">
        <v>0</v>
      </c>
      <c r="M344" s="170">
        <v>0</v>
      </c>
      <c r="N344" s="170">
        <v>0</v>
      </c>
      <c r="O344" s="170">
        <v>0</v>
      </c>
      <c r="P344" s="170">
        <v>0</v>
      </c>
      <c r="Q344" s="170">
        <v>0</v>
      </c>
      <c r="R344" s="170">
        <v>0</v>
      </c>
      <c r="S344" s="94">
        <f t="shared" si="117"/>
        <v>2223868.67</v>
      </c>
      <c r="T344" s="374">
        <v>2017</v>
      </c>
      <c r="U344" s="374">
        <v>2017</v>
      </c>
      <c r="V344" s="374">
        <f t="shared" si="120"/>
        <v>32</v>
      </c>
      <c r="W344" s="187" t="s">
        <v>318</v>
      </c>
      <c r="X344" s="188">
        <v>5</v>
      </c>
      <c r="Z344" s="23">
        <v>1072.45</v>
      </c>
    </row>
    <row r="345" spans="1:27" s="23" customFormat="1" ht="18" customHeight="1" x14ac:dyDescent="0.3">
      <c r="A345" s="46">
        <f t="shared" si="118"/>
        <v>315</v>
      </c>
      <c r="B345" s="185" t="s">
        <v>302</v>
      </c>
      <c r="C345" s="144">
        <v>1981</v>
      </c>
      <c r="D345" s="144"/>
      <c r="E345" s="144"/>
      <c r="F345" s="186">
        <v>16115.4</v>
      </c>
      <c r="G345" s="186">
        <v>13758.2</v>
      </c>
      <c r="H345" s="169">
        <f t="shared" si="116"/>
        <v>1282469.96</v>
      </c>
      <c r="I345" s="170">
        <v>0</v>
      </c>
      <c r="J345" s="170">
        <v>0</v>
      </c>
      <c r="K345" s="170">
        <v>0</v>
      </c>
      <c r="L345" s="170">
        <v>0</v>
      </c>
      <c r="M345" s="69">
        <v>1282469.96</v>
      </c>
      <c r="N345" s="170">
        <v>0</v>
      </c>
      <c r="O345" s="170">
        <v>0</v>
      </c>
      <c r="P345" s="170">
        <v>0</v>
      </c>
      <c r="Q345" s="170">
        <v>0</v>
      </c>
      <c r="R345" s="170">
        <v>0</v>
      </c>
      <c r="S345" s="94">
        <f t="shared" si="117"/>
        <v>1282469.96</v>
      </c>
      <c r="T345" s="374">
        <v>2017</v>
      </c>
      <c r="U345" s="374">
        <v>2017</v>
      </c>
      <c r="V345" s="374">
        <f t="shared" si="120"/>
        <v>33</v>
      </c>
      <c r="W345" s="187" t="s">
        <v>319</v>
      </c>
      <c r="X345" s="188">
        <v>9</v>
      </c>
      <c r="AA345" s="23">
        <v>427.25</v>
      </c>
    </row>
    <row r="346" spans="1:27" s="23" customFormat="1" ht="18" customHeight="1" x14ac:dyDescent="0.3">
      <c r="A346" s="46">
        <f t="shared" si="118"/>
        <v>316</v>
      </c>
      <c r="B346" s="185" t="s">
        <v>119</v>
      </c>
      <c r="C346" s="144">
        <v>1986</v>
      </c>
      <c r="D346" s="144"/>
      <c r="E346" s="144"/>
      <c r="F346" s="186">
        <v>7735.7</v>
      </c>
      <c r="G346" s="186">
        <v>6554.1</v>
      </c>
      <c r="H346" s="169">
        <f t="shared" si="116"/>
        <v>6087267.1200000001</v>
      </c>
      <c r="I346" s="342">
        <f>6087267.12</f>
        <v>6087267.1200000001</v>
      </c>
      <c r="J346" s="170">
        <v>0</v>
      </c>
      <c r="K346" s="170">
        <v>0</v>
      </c>
      <c r="L346" s="170">
        <v>0</v>
      </c>
      <c r="M346" s="69">
        <v>0</v>
      </c>
      <c r="N346" s="170">
        <v>0</v>
      </c>
      <c r="O346" s="170">
        <v>0</v>
      </c>
      <c r="P346" s="170">
        <v>0</v>
      </c>
      <c r="Q346" s="170">
        <v>0</v>
      </c>
      <c r="R346" s="170">
        <v>0</v>
      </c>
      <c r="S346" s="94">
        <f t="shared" si="117"/>
        <v>6087267.1200000001</v>
      </c>
      <c r="T346" s="374">
        <v>2017</v>
      </c>
      <c r="U346" s="374">
        <v>2017</v>
      </c>
      <c r="V346" s="374">
        <f t="shared" si="120"/>
        <v>34</v>
      </c>
      <c r="W346" s="187" t="s">
        <v>318</v>
      </c>
      <c r="X346" s="188">
        <v>9</v>
      </c>
      <c r="Y346" s="23">
        <f>332.83+229.94+304.67+715.89</f>
        <v>1583.33</v>
      </c>
    </row>
    <row r="347" spans="1:27" s="23" customFormat="1" ht="18" customHeight="1" x14ac:dyDescent="0.3">
      <c r="A347" s="46">
        <f t="shared" si="118"/>
        <v>317</v>
      </c>
      <c r="B347" s="185" t="s">
        <v>304</v>
      </c>
      <c r="C347" s="144">
        <v>1988</v>
      </c>
      <c r="D347" s="144"/>
      <c r="E347" s="144"/>
      <c r="F347" s="186">
        <v>5805.8</v>
      </c>
      <c r="G347" s="186">
        <v>4935.6000000000004</v>
      </c>
      <c r="H347" s="169">
        <f t="shared" si="116"/>
        <v>1250438</v>
      </c>
      <c r="I347" s="342">
        <v>1250438</v>
      </c>
      <c r="J347" s="170">
        <v>0</v>
      </c>
      <c r="K347" s="170">
        <v>0</v>
      </c>
      <c r="L347" s="170">
        <v>0</v>
      </c>
      <c r="M347" s="69">
        <v>0</v>
      </c>
      <c r="N347" s="170">
        <v>0</v>
      </c>
      <c r="O347" s="170">
        <v>0</v>
      </c>
      <c r="P347" s="170">
        <v>0</v>
      </c>
      <c r="Q347" s="170">
        <v>0</v>
      </c>
      <c r="R347" s="170">
        <v>0</v>
      </c>
      <c r="S347" s="94">
        <f t="shared" si="117"/>
        <v>1250438</v>
      </c>
      <c r="T347" s="374">
        <v>2017</v>
      </c>
      <c r="U347" s="374">
        <v>2017</v>
      </c>
      <c r="V347" s="374">
        <f t="shared" si="120"/>
        <v>35</v>
      </c>
      <c r="W347" s="187" t="s">
        <v>318</v>
      </c>
      <c r="X347" s="223">
        <v>9</v>
      </c>
      <c r="Y347" s="23">
        <f>332.83+229.94+304.67+715.89</f>
        <v>1583.33</v>
      </c>
    </row>
    <row r="348" spans="1:27" s="23" customFormat="1" ht="18" customHeight="1" x14ac:dyDescent="0.3">
      <c r="A348" s="46">
        <f t="shared" si="118"/>
        <v>318</v>
      </c>
      <c r="B348" s="185" t="s">
        <v>301</v>
      </c>
      <c r="C348" s="144">
        <v>1979</v>
      </c>
      <c r="D348" s="144"/>
      <c r="E348" s="144"/>
      <c r="F348" s="186">
        <v>15928.3</v>
      </c>
      <c r="G348" s="186">
        <v>14600.6</v>
      </c>
      <c r="H348" s="169">
        <f t="shared" si="116"/>
        <v>1282469.96</v>
      </c>
      <c r="I348" s="170">
        <v>0</v>
      </c>
      <c r="J348" s="170">
        <v>0</v>
      </c>
      <c r="K348" s="170">
        <v>0</v>
      </c>
      <c r="L348" s="170">
        <v>0</v>
      </c>
      <c r="M348" s="69">
        <v>1282469.96</v>
      </c>
      <c r="N348" s="170">
        <v>0</v>
      </c>
      <c r="O348" s="170">
        <v>0</v>
      </c>
      <c r="P348" s="170">
        <v>0</v>
      </c>
      <c r="Q348" s="170">
        <v>0</v>
      </c>
      <c r="R348" s="170">
        <v>0</v>
      </c>
      <c r="S348" s="94">
        <f t="shared" si="117"/>
        <v>1282469.96</v>
      </c>
      <c r="T348" s="374">
        <v>2017</v>
      </c>
      <c r="U348" s="374">
        <v>2017</v>
      </c>
      <c r="V348" s="374">
        <f t="shared" si="120"/>
        <v>36</v>
      </c>
      <c r="W348" s="187" t="s">
        <v>319</v>
      </c>
      <c r="X348" s="188">
        <v>9</v>
      </c>
      <c r="AA348" s="23">
        <v>427.25</v>
      </c>
    </row>
    <row r="349" spans="1:27" s="23" customFormat="1" ht="18" customHeight="1" x14ac:dyDescent="0.3">
      <c r="A349" s="46">
        <f t="shared" si="118"/>
        <v>319</v>
      </c>
      <c r="B349" s="185" t="s">
        <v>303</v>
      </c>
      <c r="C349" s="144">
        <v>1982</v>
      </c>
      <c r="D349" s="144"/>
      <c r="E349" s="144"/>
      <c r="F349" s="186">
        <v>12217.4</v>
      </c>
      <c r="G349" s="186">
        <v>10261</v>
      </c>
      <c r="H349" s="169">
        <f t="shared" si="116"/>
        <v>732839.97</v>
      </c>
      <c r="I349" s="170">
        <v>0</v>
      </c>
      <c r="J349" s="170">
        <v>0</v>
      </c>
      <c r="K349" s="170">
        <v>0</v>
      </c>
      <c r="L349" s="170">
        <v>0</v>
      </c>
      <c r="M349" s="69">
        <f>732839.97</f>
        <v>732839.97</v>
      </c>
      <c r="N349" s="170">
        <v>0</v>
      </c>
      <c r="O349" s="170">
        <v>0</v>
      </c>
      <c r="P349" s="170">
        <v>0</v>
      </c>
      <c r="Q349" s="170">
        <v>0</v>
      </c>
      <c r="R349" s="170">
        <v>0</v>
      </c>
      <c r="S349" s="94">
        <f t="shared" si="117"/>
        <v>732839.97</v>
      </c>
      <c r="T349" s="374">
        <v>2017</v>
      </c>
      <c r="U349" s="374">
        <v>2017</v>
      </c>
      <c r="V349" s="374">
        <f t="shared" si="120"/>
        <v>37</v>
      </c>
      <c r="W349" s="187" t="s">
        <v>319</v>
      </c>
      <c r="X349" s="188">
        <v>9</v>
      </c>
      <c r="AA349" s="23">
        <v>427.25</v>
      </c>
    </row>
    <row r="350" spans="1:27" s="23" customFormat="1" ht="18" customHeight="1" x14ac:dyDescent="0.3">
      <c r="A350" s="46">
        <f t="shared" si="118"/>
        <v>320</v>
      </c>
      <c r="B350" s="185" t="s">
        <v>300</v>
      </c>
      <c r="C350" s="144">
        <v>1975</v>
      </c>
      <c r="D350" s="144"/>
      <c r="E350" s="144"/>
      <c r="F350" s="186">
        <v>2856</v>
      </c>
      <c r="G350" s="186">
        <v>2456.5</v>
      </c>
      <c r="H350" s="169">
        <f t="shared" si="116"/>
        <v>5940265.46</v>
      </c>
      <c r="I350" s="170">
        <v>0</v>
      </c>
      <c r="J350" s="342">
        <v>2855540.15</v>
      </c>
      <c r="K350" s="170">
        <v>0</v>
      </c>
      <c r="L350" s="170">
        <v>0</v>
      </c>
      <c r="M350" s="69">
        <v>3084725.31</v>
      </c>
      <c r="N350" s="170">
        <v>0</v>
      </c>
      <c r="O350" s="170">
        <v>0</v>
      </c>
      <c r="P350" s="170">
        <v>0</v>
      </c>
      <c r="Q350" s="170">
        <v>0</v>
      </c>
      <c r="R350" s="170">
        <v>0</v>
      </c>
      <c r="S350" s="94">
        <f t="shared" si="117"/>
        <v>5940265.46</v>
      </c>
      <c r="T350" s="374">
        <v>2017</v>
      </c>
      <c r="U350" s="374">
        <v>2017</v>
      </c>
      <c r="V350" s="374">
        <f t="shared" si="120"/>
        <v>38</v>
      </c>
      <c r="W350" s="187" t="s">
        <v>272</v>
      </c>
      <c r="X350" s="188">
        <v>9</v>
      </c>
      <c r="AA350" s="23">
        <v>1255.74</v>
      </c>
    </row>
    <row r="351" spans="1:27" s="23" customFormat="1" ht="18" customHeight="1" x14ac:dyDescent="0.3">
      <c r="A351" s="46">
        <f t="shared" si="118"/>
        <v>321</v>
      </c>
      <c r="B351" s="185" t="s">
        <v>496</v>
      </c>
      <c r="C351" s="144">
        <v>1990</v>
      </c>
      <c r="D351" s="144"/>
      <c r="E351" s="144"/>
      <c r="F351" s="186">
        <v>2568.6</v>
      </c>
      <c r="G351" s="186">
        <v>2273.9</v>
      </c>
      <c r="H351" s="169">
        <f t="shared" si="116"/>
        <v>1126239.93</v>
      </c>
      <c r="I351" s="342">
        <f>1126239.93-O351</f>
        <v>1126239.93</v>
      </c>
      <c r="J351" s="170">
        <v>0</v>
      </c>
      <c r="K351" s="69">
        <v>0</v>
      </c>
      <c r="L351" s="170">
        <v>0</v>
      </c>
      <c r="M351" s="170">
        <v>0</v>
      </c>
      <c r="N351" s="170">
        <v>0</v>
      </c>
      <c r="O351" s="170">
        <v>0</v>
      </c>
      <c r="P351" s="170">
        <v>0</v>
      </c>
      <c r="Q351" s="170">
        <v>0</v>
      </c>
      <c r="R351" s="170">
        <v>0</v>
      </c>
      <c r="S351" s="94">
        <f t="shared" si="117"/>
        <v>1126239.93</v>
      </c>
      <c r="T351" s="374">
        <v>2017</v>
      </c>
      <c r="U351" s="374">
        <v>2017</v>
      </c>
      <c r="V351" s="374">
        <f t="shared" si="120"/>
        <v>39</v>
      </c>
      <c r="W351" s="187" t="s">
        <v>318</v>
      </c>
      <c r="X351" s="374">
        <v>5</v>
      </c>
      <c r="Y351" s="23">
        <v>716.06</v>
      </c>
      <c r="Z351" s="111"/>
    </row>
    <row r="352" spans="1:27" ht="18" customHeight="1" x14ac:dyDescent="0.25">
      <c r="A352" s="417" t="s">
        <v>257</v>
      </c>
      <c r="B352" s="423"/>
      <c r="C352" s="38"/>
      <c r="D352" s="38"/>
      <c r="E352" s="38"/>
      <c r="F352" s="124">
        <f t="shared" ref="F352:S352" si="121">SUM(F313:F351)</f>
        <v>198602.29999999996</v>
      </c>
      <c r="G352" s="124">
        <f t="shared" si="121"/>
        <v>174851.60000000003</v>
      </c>
      <c r="H352" s="25">
        <f t="shared" si="121"/>
        <v>68169215.200000003</v>
      </c>
      <c r="I352" s="39">
        <f t="shared" si="121"/>
        <v>18363945.050000001</v>
      </c>
      <c r="J352" s="26">
        <f t="shared" si="121"/>
        <v>2855540.15</v>
      </c>
      <c r="K352" s="39">
        <f t="shared" si="121"/>
        <v>27539576.500000007</v>
      </c>
      <c r="L352" s="26">
        <f t="shared" si="121"/>
        <v>0</v>
      </c>
      <c r="M352" s="39">
        <f t="shared" si="121"/>
        <v>19410153.500000004</v>
      </c>
      <c r="N352" s="26">
        <f t="shared" si="121"/>
        <v>0</v>
      </c>
      <c r="O352" s="26">
        <f t="shared" si="121"/>
        <v>0</v>
      </c>
      <c r="P352" s="26">
        <f t="shared" si="121"/>
        <v>0</v>
      </c>
      <c r="Q352" s="26">
        <f t="shared" si="121"/>
        <v>0</v>
      </c>
      <c r="R352" s="26">
        <f t="shared" si="121"/>
        <v>0</v>
      </c>
      <c r="S352" s="90">
        <f t="shared" si="121"/>
        <v>68169215.200000003</v>
      </c>
      <c r="T352" s="21" t="s">
        <v>112</v>
      </c>
      <c r="U352" s="21" t="s">
        <v>112</v>
      </c>
      <c r="V352" s="374"/>
      <c r="Y352" s="60">
        <f>S352-'[2]2017'!$S$269</f>
        <v>10471736.619999997</v>
      </c>
    </row>
    <row r="353" spans="1:26" ht="18" customHeight="1" x14ac:dyDescent="0.25">
      <c r="A353" s="433" t="s">
        <v>59</v>
      </c>
      <c r="B353" s="434"/>
      <c r="C353" s="434"/>
      <c r="D353" s="432"/>
      <c r="E353" s="428"/>
      <c r="F353" s="434"/>
      <c r="G353" s="434"/>
      <c r="H353" s="434"/>
      <c r="I353" s="434"/>
      <c r="J353" s="434"/>
      <c r="K353" s="434"/>
      <c r="L353" s="434"/>
      <c r="M353" s="434"/>
      <c r="N353" s="434"/>
      <c r="O353" s="434"/>
      <c r="P353" s="434"/>
      <c r="Q353" s="434"/>
      <c r="R353" s="434"/>
      <c r="S353" s="435"/>
      <c r="T353" s="35"/>
      <c r="U353" s="35"/>
      <c r="V353" s="374"/>
    </row>
    <row r="354" spans="1:26" ht="18" customHeight="1" x14ac:dyDescent="0.25">
      <c r="A354" s="40">
        <f>A351+1</f>
        <v>322</v>
      </c>
      <c r="B354" s="228" t="s">
        <v>624</v>
      </c>
      <c r="C354" s="68">
        <v>1974</v>
      </c>
      <c r="D354" s="68"/>
      <c r="E354" s="68"/>
      <c r="F354" s="63">
        <v>3420.3</v>
      </c>
      <c r="G354" s="63">
        <v>3160.3</v>
      </c>
      <c r="H354" s="49">
        <f>I354+J354+K354+L354+M354+N354+O354</f>
        <v>1604231.49</v>
      </c>
      <c r="I354" s="48">
        <f>ROUND((214.38+293.24)*G354,2)-O354</f>
        <v>1542342.46</v>
      </c>
      <c r="J354" s="48">
        <v>0</v>
      </c>
      <c r="K354" s="170">
        <v>0</v>
      </c>
      <c r="L354" s="48">
        <v>0</v>
      </c>
      <c r="M354" s="48">
        <v>0</v>
      </c>
      <c r="N354" s="48">
        <v>0</v>
      </c>
      <c r="O354" s="48">
        <v>61889.03</v>
      </c>
      <c r="P354" s="48">
        <v>0</v>
      </c>
      <c r="Q354" s="48">
        <v>0</v>
      </c>
      <c r="R354" s="48">
        <v>0</v>
      </c>
      <c r="S354" s="41">
        <f>H354</f>
        <v>1604231.49</v>
      </c>
      <c r="T354" s="374">
        <v>2017</v>
      </c>
      <c r="U354" s="374">
        <v>2017</v>
      </c>
      <c r="V354" s="374">
        <f t="shared" si="120"/>
        <v>1</v>
      </c>
      <c r="W354" s="54" t="s">
        <v>141</v>
      </c>
      <c r="X354" s="54">
        <v>5</v>
      </c>
    </row>
    <row r="355" spans="1:26" ht="18" customHeight="1" x14ac:dyDescent="0.25">
      <c r="A355" s="40">
        <f>A354+1</f>
        <v>323</v>
      </c>
      <c r="B355" s="228" t="s">
        <v>497</v>
      </c>
      <c r="C355" s="68">
        <v>1987</v>
      </c>
      <c r="D355" s="68"/>
      <c r="E355" s="68"/>
      <c r="F355" s="63">
        <v>4003.6</v>
      </c>
      <c r="G355" s="63">
        <v>3467.9</v>
      </c>
      <c r="H355" s="49">
        <f>I355+J355+K355+L355+M355+N355+O355</f>
        <v>3719149.36</v>
      </c>
      <c r="I355" s="48">
        <v>0</v>
      </c>
      <c r="J355" s="48">
        <v>0</v>
      </c>
      <c r="K355" s="48">
        <f>ROUND(1072.45*G355,2)-O355</f>
        <v>3622949.86</v>
      </c>
      <c r="L355" s="48">
        <v>0</v>
      </c>
      <c r="M355" s="48">
        <v>0</v>
      </c>
      <c r="N355" s="48">
        <v>0</v>
      </c>
      <c r="O355" s="48">
        <v>96199.5</v>
      </c>
      <c r="P355" s="48">
        <v>0</v>
      </c>
      <c r="Q355" s="48">
        <v>0</v>
      </c>
      <c r="R355" s="48">
        <v>0</v>
      </c>
      <c r="S355" s="41">
        <f>H355</f>
        <v>3719149.36</v>
      </c>
      <c r="T355" s="374">
        <v>2017</v>
      </c>
      <c r="U355" s="374">
        <v>2017</v>
      </c>
      <c r="V355" s="374">
        <f t="shared" si="120"/>
        <v>2</v>
      </c>
      <c r="W355" s="54" t="s">
        <v>141</v>
      </c>
      <c r="X355" s="54">
        <v>5</v>
      </c>
    </row>
    <row r="356" spans="1:26" ht="18" customHeight="1" x14ac:dyDescent="0.25">
      <c r="A356" s="417" t="s">
        <v>257</v>
      </c>
      <c r="B356" s="423"/>
      <c r="C356" s="38"/>
      <c r="D356" s="38"/>
      <c r="E356" s="38"/>
      <c r="F356" s="90">
        <f>SUM(F354:F355)</f>
        <v>7423.9</v>
      </c>
      <c r="G356" s="90">
        <f>SUM(G354:G355)</f>
        <v>6628.2000000000007</v>
      </c>
      <c r="H356" s="25">
        <f t="shared" ref="H356:S356" si="122">SUM(H354:H355)</f>
        <v>5323380.8499999996</v>
      </c>
      <c r="I356" s="26">
        <f t="shared" si="122"/>
        <v>1542342.46</v>
      </c>
      <c r="J356" s="26">
        <f t="shared" si="122"/>
        <v>0</v>
      </c>
      <c r="K356" s="26">
        <f t="shared" si="122"/>
        <v>3622949.86</v>
      </c>
      <c r="L356" s="26">
        <f t="shared" si="122"/>
        <v>0</v>
      </c>
      <c r="M356" s="26">
        <f t="shared" si="122"/>
        <v>0</v>
      </c>
      <c r="N356" s="26">
        <f t="shared" si="122"/>
        <v>0</v>
      </c>
      <c r="O356" s="26">
        <f t="shared" si="122"/>
        <v>158088.53</v>
      </c>
      <c r="P356" s="26">
        <f t="shared" si="122"/>
        <v>0</v>
      </c>
      <c r="Q356" s="26">
        <f t="shared" si="122"/>
        <v>0</v>
      </c>
      <c r="R356" s="26">
        <f t="shared" si="122"/>
        <v>0</v>
      </c>
      <c r="S356" s="90">
        <f t="shared" si="122"/>
        <v>5323380.8499999996</v>
      </c>
      <c r="T356" s="21" t="s">
        <v>112</v>
      </c>
      <c r="U356" s="21" t="s">
        <v>112</v>
      </c>
      <c r="V356" s="374"/>
    </row>
    <row r="357" spans="1:26" ht="18" customHeight="1" x14ac:dyDescent="0.25">
      <c r="A357" s="433" t="s">
        <v>60</v>
      </c>
      <c r="B357" s="434"/>
      <c r="C357" s="434"/>
      <c r="D357" s="432"/>
      <c r="E357" s="428"/>
      <c r="F357" s="434"/>
      <c r="G357" s="434"/>
      <c r="H357" s="434"/>
      <c r="I357" s="434"/>
      <c r="J357" s="434"/>
      <c r="K357" s="434"/>
      <c r="L357" s="434"/>
      <c r="M357" s="434"/>
      <c r="N357" s="434"/>
      <c r="O357" s="434"/>
      <c r="P357" s="434"/>
      <c r="Q357" s="434"/>
      <c r="R357" s="434"/>
      <c r="S357" s="435"/>
      <c r="T357" s="35"/>
      <c r="U357" s="35"/>
      <c r="V357" s="374"/>
    </row>
    <row r="358" spans="1:26" ht="18" customHeight="1" x14ac:dyDescent="0.25">
      <c r="A358" s="68">
        <f>A355+1</f>
        <v>324</v>
      </c>
      <c r="B358" s="229" t="s">
        <v>498</v>
      </c>
      <c r="C358" s="68">
        <v>1982</v>
      </c>
      <c r="D358" s="68"/>
      <c r="E358" s="68"/>
      <c r="F358" s="63">
        <v>3979.6</v>
      </c>
      <c r="G358" s="63">
        <v>3351.7</v>
      </c>
      <c r="H358" s="49">
        <f>I358+J358+K358+L358+M358+N358+O358</f>
        <v>3037801.66</v>
      </c>
      <c r="I358" s="48">
        <v>0</v>
      </c>
      <c r="J358" s="152">
        <f>3037801.66-75945.04</f>
        <v>2961856.62</v>
      </c>
      <c r="K358" s="48">
        <v>0</v>
      </c>
      <c r="L358" s="48">
        <v>0</v>
      </c>
      <c r="M358" s="48">
        <v>0</v>
      </c>
      <c r="N358" s="48">
        <v>0</v>
      </c>
      <c r="O358" s="49">
        <v>75945.039999999994</v>
      </c>
      <c r="P358" s="48">
        <v>0</v>
      </c>
      <c r="Q358" s="48">
        <v>0</v>
      </c>
      <c r="R358" s="48">
        <v>0</v>
      </c>
      <c r="S358" s="94">
        <f>H358</f>
        <v>3037801.66</v>
      </c>
      <c r="T358" s="374">
        <v>2017</v>
      </c>
      <c r="U358" s="374">
        <v>2017</v>
      </c>
      <c r="V358" s="374">
        <f t="shared" si="120"/>
        <v>1</v>
      </c>
      <c r="W358" s="112" t="s">
        <v>141</v>
      </c>
      <c r="X358" s="54">
        <v>9</v>
      </c>
    </row>
    <row r="359" spans="1:26" ht="18" customHeight="1" x14ac:dyDescent="0.25">
      <c r="A359" s="68">
        <f>A358+1</f>
        <v>325</v>
      </c>
      <c r="B359" s="229" t="s">
        <v>499</v>
      </c>
      <c r="C359" s="68">
        <v>1977</v>
      </c>
      <c r="D359" s="68"/>
      <c r="E359" s="68"/>
      <c r="F359" s="63">
        <v>3957.3</v>
      </c>
      <c r="G359" s="63">
        <v>3409.8</v>
      </c>
      <c r="H359" s="49">
        <f>I359+J359+K359+L359+M359+N359+O359</f>
        <v>3656840.01</v>
      </c>
      <c r="I359" s="48">
        <v>0</v>
      </c>
      <c r="J359" s="48">
        <v>0</v>
      </c>
      <c r="K359" s="42">
        <f>ROUND(1072.45*G359,2)-O359</f>
        <v>3555685.69</v>
      </c>
      <c r="L359" s="48">
        <v>0</v>
      </c>
      <c r="M359" s="48">
        <v>0</v>
      </c>
      <c r="N359" s="48">
        <v>0</v>
      </c>
      <c r="O359" s="48">
        <v>101154.32</v>
      </c>
      <c r="P359" s="48">
        <v>0</v>
      </c>
      <c r="Q359" s="48">
        <v>0</v>
      </c>
      <c r="R359" s="48">
        <v>0</v>
      </c>
      <c r="S359" s="94">
        <f>H359</f>
        <v>3656840.01</v>
      </c>
      <c r="T359" s="374">
        <v>2017</v>
      </c>
      <c r="U359" s="374">
        <v>2017</v>
      </c>
      <c r="V359" s="374">
        <f t="shared" si="120"/>
        <v>2</v>
      </c>
      <c r="W359" s="230" t="s">
        <v>141</v>
      </c>
      <c r="X359" s="54">
        <v>5</v>
      </c>
    </row>
    <row r="360" spans="1:26" ht="18" customHeight="1" x14ac:dyDescent="0.25">
      <c r="A360" s="417" t="s">
        <v>257</v>
      </c>
      <c r="B360" s="423"/>
      <c r="C360" s="38"/>
      <c r="D360" s="38"/>
      <c r="E360" s="38"/>
      <c r="F360" s="90">
        <f t="shared" ref="F360:O360" si="123">SUM(F358:F359)</f>
        <v>7936.9</v>
      </c>
      <c r="G360" s="90">
        <f t="shared" si="123"/>
        <v>6761.5</v>
      </c>
      <c r="H360" s="25">
        <f t="shared" si="123"/>
        <v>6694641.6699999999</v>
      </c>
      <c r="I360" s="26">
        <f t="shared" si="123"/>
        <v>0</v>
      </c>
      <c r="J360" s="26">
        <f t="shared" si="123"/>
        <v>2961856.62</v>
      </c>
      <c r="K360" s="26">
        <f t="shared" si="123"/>
        <v>3555685.69</v>
      </c>
      <c r="L360" s="26">
        <f t="shared" si="123"/>
        <v>0</v>
      </c>
      <c r="M360" s="26">
        <f t="shared" si="123"/>
        <v>0</v>
      </c>
      <c r="N360" s="26">
        <f t="shared" si="123"/>
        <v>0</v>
      </c>
      <c r="O360" s="26">
        <f t="shared" si="123"/>
        <v>177099.36</v>
      </c>
      <c r="P360" s="26">
        <f>SUM(P358:P359)</f>
        <v>0</v>
      </c>
      <c r="Q360" s="26">
        <f>SUM(Q358:Q359)</f>
        <v>0</v>
      </c>
      <c r="R360" s="26">
        <f>SUM(R358:R359)</f>
        <v>0</v>
      </c>
      <c r="S360" s="90">
        <f>SUM(S358:S359)</f>
        <v>6694641.6699999999</v>
      </c>
      <c r="T360" s="21" t="s">
        <v>112</v>
      </c>
      <c r="U360" s="21" t="s">
        <v>112</v>
      </c>
      <c r="V360" s="374"/>
    </row>
    <row r="361" spans="1:26" ht="18" customHeight="1" x14ac:dyDescent="0.25">
      <c r="A361" s="433" t="s">
        <v>64</v>
      </c>
      <c r="B361" s="434"/>
      <c r="C361" s="434"/>
      <c r="D361" s="432"/>
      <c r="E361" s="428"/>
      <c r="F361" s="434"/>
      <c r="G361" s="434"/>
      <c r="H361" s="434"/>
      <c r="I361" s="434"/>
      <c r="J361" s="434"/>
      <c r="K361" s="434"/>
      <c r="L361" s="434"/>
      <c r="M361" s="434"/>
      <c r="N361" s="434"/>
      <c r="O361" s="434"/>
      <c r="P361" s="434"/>
      <c r="Q361" s="434"/>
      <c r="R361" s="434"/>
      <c r="S361" s="435"/>
      <c r="T361" s="35"/>
      <c r="U361" s="35"/>
      <c r="V361" s="374"/>
    </row>
    <row r="362" spans="1:26" ht="18" customHeight="1" x14ac:dyDescent="0.3">
      <c r="A362" s="68">
        <f>A359+1</f>
        <v>326</v>
      </c>
      <c r="B362" s="65" t="s">
        <v>500</v>
      </c>
      <c r="C362" s="68">
        <v>1976</v>
      </c>
      <c r="D362" s="68"/>
      <c r="E362" s="68"/>
      <c r="F362" s="63">
        <v>3624.6</v>
      </c>
      <c r="G362" s="63">
        <v>3238.3</v>
      </c>
      <c r="H362" s="49">
        <f>I362+J362+K362+L362+M362+N362+O362</f>
        <v>3707076.31</v>
      </c>
      <c r="I362" s="48">
        <v>0</v>
      </c>
      <c r="J362" s="48">
        <v>0</v>
      </c>
      <c r="K362" s="48">
        <v>0</v>
      </c>
      <c r="L362" s="48">
        <v>0</v>
      </c>
      <c r="M362" s="43">
        <f>ROUND(1144.76*G362,2)-O362</f>
        <v>3569252.31</v>
      </c>
      <c r="N362" s="48">
        <v>0</v>
      </c>
      <c r="O362" s="48">
        <v>137824</v>
      </c>
      <c r="P362" s="48">
        <v>0</v>
      </c>
      <c r="Q362" s="48">
        <v>0</v>
      </c>
      <c r="R362" s="48">
        <v>0</v>
      </c>
      <c r="S362" s="231">
        <f>H362-R362</f>
        <v>3707076.31</v>
      </c>
      <c r="T362" s="374">
        <v>2017</v>
      </c>
      <c r="U362" s="374">
        <v>2017</v>
      </c>
      <c r="V362" s="374">
        <f t="shared" si="120"/>
        <v>1</v>
      </c>
      <c r="W362" s="145" t="s">
        <v>142</v>
      </c>
      <c r="X362" s="144">
        <v>5</v>
      </c>
      <c r="Y362" s="232">
        <f>R362/H362*100</f>
        <v>0</v>
      </c>
    </row>
    <row r="363" spans="1:26" ht="18" customHeight="1" x14ac:dyDescent="0.25">
      <c r="A363" s="417" t="s">
        <v>257</v>
      </c>
      <c r="B363" s="423"/>
      <c r="C363" s="38"/>
      <c r="D363" s="38"/>
      <c r="E363" s="38"/>
      <c r="F363" s="90">
        <f t="shared" ref="F363:O363" si="124">SUM(F362:F362)</f>
        <v>3624.6</v>
      </c>
      <c r="G363" s="90">
        <f t="shared" si="124"/>
        <v>3238.3</v>
      </c>
      <c r="H363" s="25">
        <f t="shared" si="124"/>
        <v>3707076.31</v>
      </c>
      <c r="I363" s="26">
        <f t="shared" si="124"/>
        <v>0</v>
      </c>
      <c r="J363" s="26">
        <f t="shared" si="124"/>
        <v>0</v>
      </c>
      <c r="K363" s="26">
        <f t="shared" si="124"/>
        <v>0</v>
      </c>
      <c r="L363" s="26">
        <f t="shared" si="124"/>
        <v>0</v>
      </c>
      <c r="M363" s="26">
        <f t="shared" si="124"/>
        <v>3569252.31</v>
      </c>
      <c r="N363" s="26">
        <f t="shared" si="124"/>
        <v>0</v>
      </c>
      <c r="O363" s="26">
        <f t="shared" si="124"/>
        <v>137824</v>
      </c>
      <c r="P363" s="26">
        <f>SUM(P362:P362)</f>
        <v>0</v>
      </c>
      <c r="Q363" s="26">
        <f>SUM(Q362:Q362)</f>
        <v>0</v>
      </c>
      <c r="R363" s="26">
        <f>SUM(R362:R362)</f>
        <v>0</v>
      </c>
      <c r="S363" s="90">
        <f>SUM(S362:S362)</f>
        <v>3707076.31</v>
      </c>
      <c r="T363" s="21" t="s">
        <v>112</v>
      </c>
      <c r="U363" s="21" t="s">
        <v>112</v>
      </c>
      <c r="V363" s="3"/>
      <c r="Z363" s="233">
        <v>3477025.44</v>
      </c>
    </row>
    <row r="364" spans="1:26" ht="18" customHeight="1" x14ac:dyDescent="0.25">
      <c r="A364" s="436" t="s">
        <v>32</v>
      </c>
      <c r="B364" s="437"/>
      <c r="C364" s="437"/>
      <c r="D364" s="437"/>
      <c r="E364" s="437"/>
      <c r="F364" s="437"/>
      <c r="G364" s="437"/>
      <c r="H364" s="437"/>
      <c r="I364" s="437"/>
      <c r="J364" s="437"/>
      <c r="K364" s="437"/>
      <c r="L364" s="437"/>
      <c r="M364" s="437"/>
      <c r="N364" s="437"/>
      <c r="O364" s="437"/>
      <c r="P364" s="437"/>
      <c r="Q364" s="437"/>
      <c r="R364" s="437"/>
      <c r="S364" s="438"/>
      <c r="T364" s="35"/>
      <c r="U364" s="35"/>
      <c r="V364" s="35"/>
    </row>
    <row r="365" spans="1:26" s="23" customFormat="1" ht="18" customHeight="1" x14ac:dyDescent="0.25">
      <c r="A365" s="374">
        <f>A362+1</f>
        <v>327</v>
      </c>
      <c r="B365" s="65" t="s">
        <v>371</v>
      </c>
      <c r="C365" s="374">
        <v>1984</v>
      </c>
      <c r="D365" s="374"/>
      <c r="E365" s="374"/>
      <c r="F365" s="297">
        <v>3897.3</v>
      </c>
      <c r="G365" s="135">
        <v>3367.6</v>
      </c>
      <c r="H365" s="49">
        <f t="shared" ref="H365:H395" si="125">I365+J365+K365+L365+M365+N365+O365</f>
        <v>1349431</v>
      </c>
      <c r="I365" s="170">
        <f>ROUND(400.71*$G365,2)-O365</f>
        <v>1291897.9099999999</v>
      </c>
      <c r="J365" s="48">
        <v>0</v>
      </c>
      <c r="K365" s="48">
        <v>0</v>
      </c>
      <c r="L365" s="48">
        <v>0</v>
      </c>
      <c r="M365" s="48">
        <v>0</v>
      </c>
      <c r="N365" s="48">
        <v>0</v>
      </c>
      <c r="O365" s="48">
        <v>57533.09</v>
      </c>
      <c r="P365" s="48">
        <v>0</v>
      </c>
      <c r="Q365" s="48">
        <v>0</v>
      </c>
      <c r="R365" s="48">
        <v>0</v>
      </c>
      <c r="S365" s="94">
        <f t="shared" ref="S365:S395" si="126">H365</f>
        <v>1349431</v>
      </c>
      <c r="T365" s="374">
        <v>2017</v>
      </c>
      <c r="U365" s="374">
        <v>2017</v>
      </c>
      <c r="V365" s="374">
        <v>1</v>
      </c>
      <c r="W365" s="65" t="s">
        <v>387</v>
      </c>
      <c r="X365" s="374">
        <v>9</v>
      </c>
    </row>
    <row r="366" spans="1:26" s="23" customFormat="1" ht="18" customHeight="1" x14ac:dyDescent="0.25">
      <c r="A366" s="374">
        <f>A365+1</f>
        <v>328</v>
      </c>
      <c r="B366" s="65" t="s">
        <v>369</v>
      </c>
      <c r="C366" s="374">
        <v>1980</v>
      </c>
      <c r="D366" s="374"/>
      <c r="E366" s="374"/>
      <c r="F366" s="32">
        <v>5967.7</v>
      </c>
      <c r="G366" s="133">
        <v>5119.7</v>
      </c>
      <c r="H366" s="49">
        <f t="shared" si="125"/>
        <v>9113404.9800000004</v>
      </c>
      <c r="I366" s="170">
        <v>0</v>
      </c>
      <c r="J366" s="48">
        <f>ROUND(3*3037801.66,2)-227835.12</f>
        <v>8885569.8600000013</v>
      </c>
      <c r="K366" s="48">
        <v>0</v>
      </c>
      <c r="L366" s="48">
        <v>0</v>
      </c>
      <c r="M366" s="48">
        <v>0</v>
      </c>
      <c r="N366" s="48">
        <v>0</v>
      </c>
      <c r="O366" s="48">
        <v>227835.12</v>
      </c>
      <c r="P366" s="48">
        <v>0</v>
      </c>
      <c r="Q366" s="48">
        <v>0</v>
      </c>
      <c r="R366" s="48">
        <v>0</v>
      </c>
      <c r="S366" s="94">
        <f t="shared" si="126"/>
        <v>9113404.9800000004</v>
      </c>
      <c r="T366" s="374">
        <v>2017</v>
      </c>
      <c r="U366" s="374">
        <v>2017</v>
      </c>
      <c r="V366" s="374">
        <f>V365+1</f>
        <v>2</v>
      </c>
      <c r="W366" s="50" t="s">
        <v>387</v>
      </c>
      <c r="X366" s="374">
        <v>9</v>
      </c>
    </row>
    <row r="367" spans="1:26" s="23" customFormat="1" ht="18" customHeight="1" x14ac:dyDescent="0.25">
      <c r="A367" s="374">
        <f t="shared" ref="A367:A395" si="127">A366+1</f>
        <v>329</v>
      </c>
      <c r="B367" s="65" t="s">
        <v>372</v>
      </c>
      <c r="C367" s="374">
        <v>1985</v>
      </c>
      <c r="D367" s="374"/>
      <c r="E367" s="374"/>
      <c r="F367" s="126">
        <v>4069.4</v>
      </c>
      <c r="G367" s="133">
        <v>3670.6</v>
      </c>
      <c r="H367" s="49">
        <f t="shared" si="125"/>
        <v>1470846.13</v>
      </c>
      <c r="I367" s="170">
        <f>ROUND(400.71*$G367,2)-O367</f>
        <v>1408136.5</v>
      </c>
      <c r="J367" s="48">
        <v>0</v>
      </c>
      <c r="K367" s="48">
        <v>0</v>
      </c>
      <c r="L367" s="48">
        <v>0</v>
      </c>
      <c r="M367" s="48">
        <v>0</v>
      </c>
      <c r="N367" s="48">
        <v>0</v>
      </c>
      <c r="O367" s="48">
        <v>62709.63</v>
      </c>
      <c r="P367" s="48">
        <v>0</v>
      </c>
      <c r="Q367" s="48">
        <v>0</v>
      </c>
      <c r="R367" s="48">
        <v>0</v>
      </c>
      <c r="S367" s="94">
        <f t="shared" si="126"/>
        <v>1470846.13</v>
      </c>
      <c r="T367" s="374">
        <v>2017</v>
      </c>
      <c r="U367" s="374">
        <v>2017</v>
      </c>
      <c r="V367" s="374">
        <f t="shared" ref="V367:V395" si="128">V366+1</f>
        <v>3</v>
      </c>
      <c r="W367" s="65" t="s">
        <v>387</v>
      </c>
      <c r="X367" s="374">
        <v>9</v>
      </c>
    </row>
    <row r="368" spans="1:26" s="23" customFormat="1" ht="18" customHeight="1" x14ac:dyDescent="0.25">
      <c r="A368" s="374">
        <f t="shared" si="127"/>
        <v>330</v>
      </c>
      <c r="B368" s="65" t="s">
        <v>370</v>
      </c>
      <c r="C368" s="374">
        <v>1980</v>
      </c>
      <c r="D368" s="374"/>
      <c r="E368" s="374"/>
      <c r="F368" s="32">
        <v>5993.4</v>
      </c>
      <c r="G368" s="133">
        <v>5136.1000000000004</v>
      </c>
      <c r="H368" s="49">
        <f t="shared" si="125"/>
        <v>9113404.9800000004</v>
      </c>
      <c r="I368" s="170">
        <v>0</v>
      </c>
      <c r="J368" s="48">
        <f>ROUND(3*3037801.66,2)-227835.12</f>
        <v>8885569.8600000013</v>
      </c>
      <c r="K368" s="48">
        <v>0</v>
      </c>
      <c r="L368" s="48">
        <v>0</v>
      </c>
      <c r="M368" s="48">
        <v>0</v>
      </c>
      <c r="N368" s="48">
        <v>0</v>
      </c>
      <c r="O368" s="48">
        <v>227835.12</v>
      </c>
      <c r="P368" s="48">
        <v>0</v>
      </c>
      <c r="Q368" s="48">
        <v>0</v>
      </c>
      <c r="R368" s="48">
        <v>0</v>
      </c>
      <c r="S368" s="94">
        <f t="shared" si="126"/>
        <v>9113404.9800000004</v>
      </c>
      <c r="T368" s="374">
        <v>2017</v>
      </c>
      <c r="U368" s="374">
        <v>2017</v>
      </c>
      <c r="V368" s="374">
        <f t="shared" si="128"/>
        <v>4</v>
      </c>
      <c r="W368" s="50" t="s">
        <v>387</v>
      </c>
      <c r="X368" s="374">
        <v>9</v>
      </c>
    </row>
    <row r="369" spans="1:24" s="23" customFormat="1" ht="18" customHeight="1" x14ac:dyDescent="0.25">
      <c r="A369" s="374">
        <f t="shared" si="127"/>
        <v>331</v>
      </c>
      <c r="B369" s="65" t="s">
        <v>378</v>
      </c>
      <c r="C369" s="374">
        <v>1989</v>
      </c>
      <c r="D369" s="374"/>
      <c r="E369" s="374"/>
      <c r="F369" s="126">
        <v>9161.5</v>
      </c>
      <c r="G369" s="133">
        <v>7895.5</v>
      </c>
      <c r="H369" s="49">
        <f t="shared" si="125"/>
        <v>3163805.81</v>
      </c>
      <c r="I369" s="170">
        <f>ROUND(400.71*$G369,2)-O369</f>
        <v>3028916.73</v>
      </c>
      <c r="J369" s="48">
        <v>0</v>
      </c>
      <c r="K369" s="48">
        <v>0</v>
      </c>
      <c r="L369" s="48">
        <v>0</v>
      </c>
      <c r="M369" s="48">
        <v>0</v>
      </c>
      <c r="N369" s="48">
        <v>0</v>
      </c>
      <c r="O369" s="48">
        <v>134889.07999999999</v>
      </c>
      <c r="P369" s="48">
        <v>0</v>
      </c>
      <c r="Q369" s="48">
        <v>0</v>
      </c>
      <c r="R369" s="48">
        <v>0</v>
      </c>
      <c r="S369" s="94">
        <f t="shared" si="126"/>
        <v>3163805.81</v>
      </c>
      <c r="T369" s="374">
        <v>2017</v>
      </c>
      <c r="U369" s="374">
        <v>2017</v>
      </c>
      <c r="V369" s="374">
        <f t="shared" si="128"/>
        <v>5</v>
      </c>
      <c r="W369" s="65" t="s">
        <v>387</v>
      </c>
      <c r="X369" s="374">
        <v>9</v>
      </c>
    </row>
    <row r="370" spans="1:24" s="23" customFormat="1" ht="18" customHeight="1" x14ac:dyDescent="0.25">
      <c r="A370" s="374">
        <f t="shared" si="127"/>
        <v>332</v>
      </c>
      <c r="B370" s="65" t="s">
        <v>379</v>
      </c>
      <c r="C370" s="374">
        <v>1983</v>
      </c>
      <c r="D370" s="374"/>
      <c r="E370" s="374"/>
      <c r="F370" s="126">
        <v>3876.5</v>
      </c>
      <c r="G370" s="133">
        <v>3321</v>
      </c>
      <c r="H370" s="49">
        <f t="shared" si="125"/>
        <v>1330757.9099999999</v>
      </c>
      <c r="I370" s="170">
        <f>ROUND(400.71*$G370,2)-O370</f>
        <v>1274020.95</v>
      </c>
      <c r="J370" s="48">
        <v>0</v>
      </c>
      <c r="K370" s="48">
        <v>0</v>
      </c>
      <c r="L370" s="48">
        <v>0</v>
      </c>
      <c r="M370" s="48">
        <v>0</v>
      </c>
      <c r="N370" s="48">
        <v>0</v>
      </c>
      <c r="O370" s="48">
        <v>56736.959999999999</v>
      </c>
      <c r="P370" s="48">
        <v>0</v>
      </c>
      <c r="Q370" s="48">
        <v>0</v>
      </c>
      <c r="R370" s="48">
        <v>0</v>
      </c>
      <c r="S370" s="94">
        <f t="shared" si="126"/>
        <v>1330757.9099999999</v>
      </c>
      <c r="T370" s="374">
        <v>2017</v>
      </c>
      <c r="U370" s="374">
        <v>2017</v>
      </c>
      <c r="V370" s="374">
        <f t="shared" si="128"/>
        <v>6</v>
      </c>
      <c r="W370" s="65" t="s">
        <v>387</v>
      </c>
      <c r="X370" s="374">
        <v>9</v>
      </c>
    </row>
    <row r="371" spans="1:24" s="23" customFormat="1" ht="18" customHeight="1" x14ac:dyDescent="0.25">
      <c r="A371" s="374">
        <f t="shared" si="127"/>
        <v>333</v>
      </c>
      <c r="B371" s="65" t="s">
        <v>397</v>
      </c>
      <c r="C371" s="374">
        <v>1984</v>
      </c>
      <c r="D371" s="374"/>
      <c r="E371" s="374"/>
      <c r="F371" s="253">
        <v>4357.2</v>
      </c>
      <c r="G371" s="301">
        <v>3953.2</v>
      </c>
      <c r="H371" s="49">
        <f t="shared" si="125"/>
        <v>4525465.2300000004</v>
      </c>
      <c r="I371" s="170">
        <v>0</v>
      </c>
      <c r="J371" s="49">
        <v>0</v>
      </c>
      <c r="K371" s="48">
        <v>0</v>
      </c>
      <c r="L371" s="48">
        <v>0</v>
      </c>
      <c r="M371" s="48">
        <f>ROUND(1144.76*G371,2)-O371</f>
        <v>4380088.0500000007</v>
      </c>
      <c r="N371" s="48">
        <v>0</v>
      </c>
      <c r="O371" s="48">
        <v>145377.18</v>
      </c>
      <c r="P371" s="48">
        <v>0</v>
      </c>
      <c r="Q371" s="48">
        <v>0</v>
      </c>
      <c r="R371" s="48">
        <v>0</v>
      </c>
      <c r="S371" s="94">
        <f t="shared" si="126"/>
        <v>4525465.2300000004</v>
      </c>
      <c r="T371" s="374">
        <v>2017</v>
      </c>
      <c r="U371" s="374">
        <v>2017</v>
      </c>
      <c r="V371" s="374">
        <f t="shared" si="128"/>
        <v>7</v>
      </c>
      <c r="W371" s="65" t="s">
        <v>388</v>
      </c>
      <c r="X371" s="374">
        <v>5</v>
      </c>
    </row>
    <row r="372" spans="1:24" s="23" customFormat="1" ht="18" customHeight="1" x14ac:dyDescent="0.25">
      <c r="A372" s="374">
        <f t="shared" si="127"/>
        <v>334</v>
      </c>
      <c r="B372" s="65" t="s">
        <v>377</v>
      </c>
      <c r="C372" s="374">
        <v>1986</v>
      </c>
      <c r="D372" s="374"/>
      <c r="E372" s="374"/>
      <c r="F372" s="126">
        <v>3957</v>
      </c>
      <c r="G372" s="133">
        <v>3534.5</v>
      </c>
      <c r="H372" s="49">
        <f t="shared" si="125"/>
        <v>2120841.38</v>
      </c>
      <c r="I372" s="170">
        <f>ROUND((214.38+385.66)*$G372,2)-O372</f>
        <v>2020232.99</v>
      </c>
      <c r="J372" s="48">
        <v>0</v>
      </c>
      <c r="K372" s="48">
        <v>0</v>
      </c>
      <c r="L372" s="48">
        <v>0</v>
      </c>
      <c r="M372" s="48">
        <v>0</v>
      </c>
      <c r="N372" s="48">
        <v>0</v>
      </c>
      <c r="O372" s="48">
        <v>100608.39</v>
      </c>
      <c r="P372" s="48">
        <v>0</v>
      </c>
      <c r="Q372" s="48">
        <v>0</v>
      </c>
      <c r="R372" s="48">
        <v>0</v>
      </c>
      <c r="S372" s="94">
        <f t="shared" si="126"/>
        <v>2120841.38</v>
      </c>
      <c r="T372" s="374">
        <v>2017</v>
      </c>
      <c r="U372" s="374">
        <v>2017</v>
      </c>
      <c r="V372" s="374">
        <f t="shared" si="128"/>
        <v>8</v>
      </c>
      <c r="W372" s="65" t="s">
        <v>387</v>
      </c>
      <c r="X372" s="374">
        <v>5</v>
      </c>
    </row>
    <row r="373" spans="1:24" s="23" customFormat="1" ht="18" customHeight="1" x14ac:dyDescent="0.25">
      <c r="A373" s="374">
        <f t="shared" si="127"/>
        <v>335</v>
      </c>
      <c r="B373" s="65" t="s">
        <v>376</v>
      </c>
      <c r="C373" s="374">
        <v>1975</v>
      </c>
      <c r="D373" s="374"/>
      <c r="E373" s="374"/>
      <c r="F373" s="126">
        <v>3617.1</v>
      </c>
      <c r="G373" s="133">
        <v>3226.3</v>
      </c>
      <c r="H373" s="49">
        <f t="shared" si="125"/>
        <v>1244254.8600000001</v>
      </c>
      <c r="I373" s="170">
        <f>ROUND(385.66*$G373,2)-O373</f>
        <v>1191203.6300000001</v>
      </c>
      <c r="J373" s="48">
        <v>0</v>
      </c>
      <c r="K373" s="48">
        <v>0</v>
      </c>
      <c r="L373" s="48">
        <v>0</v>
      </c>
      <c r="M373" s="48">
        <v>0</v>
      </c>
      <c r="N373" s="48">
        <v>0</v>
      </c>
      <c r="O373" s="48">
        <v>53051.23</v>
      </c>
      <c r="P373" s="48">
        <v>0</v>
      </c>
      <c r="Q373" s="48">
        <v>0</v>
      </c>
      <c r="R373" s="48">
        <v>0</v>
      </c>
      <c r="S373" s="94">
        <f t="shared" si="126"/>
        <v>1244254.8600000001</v>
      </c>
      <c r="T373" s="374">
        <v>2017</v>
      </c>
      <c r="U373" s="374">
        <v>2017</v>
      </c>
      <c r="V373" s="374">
        <f t="shared" si="128"/>
        <v>9</v>
      </c>
      <c r="W373" s="65" t="s">
        <v>387</v>
      </c>
      <c r="X373" s="374">
        <v>5</v>
      </c>
    </row>
    <row r="374" spans="1:24" s="23" customFormat="1" ht="18" customHeight="1" x14ac:dyDescent="0.25">
      <c r="A374" s="374">
        <f t="shared" si="127"/>
        <v>336</v>
      </c>
      <c r="B374" s="65" t="s">
        <v>374</v>
      </c>
      <c r="C374" s="374">
        <v>1974</v>
      </c>
      <c r="D374" s="234"/>
      <c r="E374" s="234"/>
      <c r="F374" s="235">
        <v>7920.3</v>
      </c>
      <c r="G374" s="133">
        <v>7266.6</v>
      </c>
      <c r="H374" s="49">
        <f t="shared" si="125"/>
        <v>2774823.88</v>
      </c>
      <c r="I374" s="170">
        <f>ROUND(381.86*$G374,2)-O374</f>
        <v>2656514.12</v>
      </c>
      <c r="J374" s="48">
        <v>0</v>
      </c>
      <c r="K374" s="48">
        <v>0</v>
      </c>
      <c r="L374" s="48">
        <v>0</v>
      </c>
      <c r="M374" s="48">
        <v>0</v>
      </c>
      <c r="N374" s="48">
        <v>0</v>
      </c>
      <c r="O374" s="48">
        <v>118309.75999999999</v>
      </c>
      <c r="P374" s="48">
        <v>0</v>
      </c>
      <c r="Q374" s="48">
        <v>0</v>
      </c>
      <c r="R374" s="48">
        <v>0</v>
      </c>
      <c r="S374" s="94">
        <f t="shared" si="126"/>
        <v>2774823.88</v>
      </c>
      <c r="T374" s="374">
        <v>2017</v>
      </c>
      <c r="U374" s="374">
        <v>2017</v>
      </c>
      <c r="V374" s="374">
        <f t="shared" si="128"/>
        <v>10</v>
      </c>
      <c r="W374" s="236" t="s">
        <v>388</v>
      </c>
      <c r="X374" s="234">
        <v>5</v>
      </c>
    </row>
    <row r="375" spans="1:24" s="23" customFormat="1" ht="18" customHeight="1" x14ac:dyDescent="0.25">
      <c r="A375" s="374">
        <f t="shared" si="127"/>
        <v>337</v>
      </c>
      <c r="B375" s="65" t="s">
        <v>375</v>
      </c>
      <c r="C375" s="374">
        <v>1972</v>
      </c>
      <c r="D375" s="374"/>
      <c r="E375" s="374"/>
      <c r="F375" s="126">
        <v>4927.2</v>
      </c>
      <c r="G375" s="133">
        <v>4698.5</v>
      </c>
      <c r="H375" s="49">
        <f t="shared" si="125"/>
        <v>7172824.0700000003</v>
      </c>
      <c r="I375" s="170">
        <f>ROUND(381.86*$G375,2)-65335.2</f>
        <v>1728834.01</v>
      </c>
      <c r="J375" s="48">
        <v>0</v>
      </c>
      <c r="K375" s="48">
        <v>0</v>
      </c>
      <c r="L375" s="48">
        <v>0</v>
      </c>
      <c r="M375" s="48">
        <f>ROUND(1144.76*G375,2)-275628.16</f>
        <v>5103026.7</v>
      </c>
      <c r="N375" s="48">
        <v>0</v>
      </c>
      <c r="O375" s="48">
        <v>340963.36</v>
      </c>
      <c r="P375" s="48">
        <v>0</v>
      </c>
      <c r="Q375" s="48">
        <v>0</v>
      </c>
      <c r="R375" s="48">
        <v>0</v>
      </c>
      <c r="S375" s="94">
        <f t="shared" si="126"/>
        <v>7172824.0700000003</v>
      </c>
      <c r="T375" s="374">
        <v>2017</v>
      </c>
      <c r="U375" s="374">
        <v>2017</v>
      </c>
      <c r="V375" s="374">
        <f t="shared" si="128"/>
        <v>11</v>
      </c>
      <c r="W375" s="65" t="s">
        <v>388</v>
      </c>
      <c r="X375" s="374">
        <v>5</v>
      </c>
    </row>
    <row r="376" spans="1:24" s="23" customFormat="1" ht="18" customHeight="1" x14ac:dyDescent="0.25">
      <c r="A376" s="374">
        <f t="shared" si="127"/>
        <v>338</v>
      </c>
      <c r="B376" s="65" t="s">
        <v>386</v>
      </c>
      <c r="C376" s="374">
        <v>1970</v>
      </c>
      <c r="D376" s="374"/>
      <c r="E376" s="374"/>
      <c r="F376" s="126">
        <v>4203.8999999999996</v>
      </c>
      <c r="G376" s="133">
        <v>3951.2</v>
      </c>
      <c r="H376" s="49">
        <f t="shared" si="125"/>
        <v>4523175.71</v>
      </c>
      <c r="I376" s="170">
        <v>0</v>
      </c>
      <c r="J376" s="48">
        <v>0</v>
      </c>
      <c r="K376" s="48">
        <v>0</v>
      </c>
      <c r="L376" s="48">
        <v>0</v>
      </c>
      <c r="M376" s="48">
        <f>ROUND(1144.76*G376,2)-O376</f>
        <v>4372808.3099999996</v>
      </c>
      <c r="N376" s="48">
        <v>0</v>
      </c>
      <c r="O376" s="48">
        <v>150367.4</v>
      </c>
      <c r="P376" s="48">
        <v>0</v>
      </c>
      <c r="Q376" s="48">
        <v>0</v>
      </c>
      <c r="R376" s="48">
        <v>0</v>
      </c>
      <c r="S376" s="94">
        <f t="shared" si="126"/>
        <v>4523175.71</v>
      </c>
      <c r="T376" s="374">
        <v>2017</v>
      </c>
      <c r="U376" s="374">
        <v>2017</v>
      </c>
      <c r="V376" s="374">
        <f t="shared" si="128"/>
        <v>12</v>
      </c>
      <c r="W376" s="65" t="s">
        <v>388</v>
      </c>
      <c r="X376" s="374">
        <v>5</v>
      </c>
    </row>
    <row r="377" spans="1:24" s="23" customFormat="1" ht="18" customHeight="1" x14ac:dyDescent="0.25">
      <c r="A377" s="374">
        <f t="shared" si="127"/>
        <v>339</v>
      </c>
      <c r="B377" s="65" t="s">
        <v>384</v>
      </c>
      <c r="C377" s="374">
        <v>1977</v>
      </c>
      <c r="D377" s="374"/>
      <c r="E377" s="374"/>
      <c r="F377" s="126">
        <v>1545.2</v>
      </c>
      <c r="G377" s="133">
        <v>1321.6</v>
      </c>
      <c r="H377" s="49">
        <f t="shared" si="125"/>
        <v>960882.5</v>
      </c>
      <c r="I377" s="367">
        <f>ROUND(727.06*$G377,2)-O377</f>
        <v>903229.55</v>
      </c>
      <c r="J377" s="48">
        <v>0</v>
      </c>
      <c r="K377" s="48">
        <v>0</v>
      </c>
      <c r="L377" s="48">
        <v>0</v>
      </c>
      <c r="M377" s="48">
        <v>0</v>
      </c>
      <c r="N377" s="48">
        <v>0</v>
      </c>
      <c r="O377" s="48">
        <v>57652.95</v>
      </c>
      <c r="P377" s="48">
        <v>0</v>
      </c>
      <c r="Q377" s="48">
        <v>0</v>
      </c>
      <c r="R377" s="48">
        <v>0</v>
      </c>
      <c r="S377" s="94">
        <f t="shared" si="126"/>
        <v>960882.5</v>
      </c>
      <c r="T377" s="374">
        <v>2017</v>
      </c>
      <c r="U377" s="374">
        <v>2017</v>
      </c>
      <c r="V377" s="374">
        <f t="shared" si="128"/>
        <v>13</v>
      </c>
      <c r="W377" s="65" t="s">
        <v>388</v>
      </c>
      <c r="X377" s="374">
        <v>3</v>
      </c>
    </row>
    <row r="378" spans="1:24" s="23" customFormat="1" ht="18" customHeight="1" x14ac:dyDescent="0.25">
      <c r="A378" s="374">
        <f t="shared" si="127"/>
        <v>340</v>
      </c>
      <c r="B378" s="65" t="s">
        <v>473</v>
      </c>
      <c r="C378" s="374" t="s">
        <v>56</v>
      </c>
      <c r="D378" s="374"/>
      <c r="E378" s="374"/>
      <c r="F378" s="224">
        <v>1868.6</v>
      </c>
      <c r="G378" s="301">
        <v>1679.4</v>
      </c>
      <c r="H378" s="49">
        <f t="shared" si="125"/>
        <v>3666583.64</v>
      </c>
      <c r="I378" s="350">
        <f>ROUND(G378*(256.88+332.83+191.67+381.86+292.97+727.06),2)-200100</f>
        <v>3466483.64</v>
      </c>
      <c r="J378" s="49">
        <v>0</v>
      </c>
      <c r="K378" s="170">
        <v>0</v>
      </c>
      <c r="L378" s="170">
        <v>0</v>
      </c>
      <c r="M378" s="170">
        <v>0</v>
      </c>
      <c r="N378" s="170">
        <v>0</v>
      </c>
      <c r="O378" s="48">
        <v>200100</v>
      </c>
      <c r="P378" s="48">
        <v>0</v>
      </c>
      <c r="Q378" s="48">
        <v>0</v>
      </c>
      <c r="R378" s="48">
        <v>0</v>
      </c>
      <c r="S378" s="305">
        <f t="shared" si="126"/>
        <v>3666583.64</v>
      </c>
      <c r="T378" s="374">
        <v>2016</v>
      </c>
      <c r="U378" s="374">
        <v>2017</v>
      </c>
      <c r="V378" s="374">
        <f t="shared" si="128"/>
        <v>14</v>
      </c>
      <c r="W378" s="65" t="s">
        <v>142</v>
      </c>
      <c r="X378" s="374" t="s">
        <v>461</v>
      </c>
    </row>
    <row r="379" spans="1:24" s="23" customFormat="1" ht="18" customHeight="1" x14ac:dyDescent="0.25">
      <c r="A379" s="374">
        <f t="shared" si="127"/>
        <v>341</v>
      </c>
      <c r="B379" s="65" t="s">
        <v>467</v>
      </c>
      <c r="C379" s="374" t="s">
        <v>56</v>
      </c>
      <c r="D379" s="374"/>
      <c r="E379" s="374"/>
      <c r="F379" s="224">
        <v>1805.9</v>
      </c>
      <c r="G379" s="301">
        <v>1618.6</v>
      </c>
      <c r="H379" s="49">
        <f t="shared" si="125"/>
        <v>5443746.4100000001</v>
      </c>
      <c r="I379" s="305">
        <v>1498034.2</v>
      </c>
      <c r="J379" s="49">
        <v>0</v>
      </c>
      <c r="K379" s="294">
        <f>ROUND(1824.94*G379,2)-O379</f>
        <v>2883508.08</v>
      </c>
      <c r="L379" s="48">
        <v>0</v>
      </c>
      <c r="M379" s="305">
        <v>991864.33</v>
      </c>
      <c r="N379" s="48">
        <v>0</v>
      </c>
      <c r="O379" s="48">
        <v>70339.8</v>
      </c>
      <c r="P379" s="48">
        <v>0</v>
      </c>
      <c r="Q379" s="48">
        <v>0</v>
      </c>
      <c r="R379" s="48">
        <v>0</v>
      </c>
      <c r="S379" s="94">
        <f t="shared" si="126"/>
        <v>5443746.4100000001</v>
      </c>
      <c r="T379" s="374">
        <v>2016</v>
      </c>
      <c r="U379" s="374">
        <v>2017</v>
      </c>
      <c r="V379" s="374">
        <f t="shared" si="128"/>
        <v>15</v>
      </c>
      <c r="W379" s="65" t="s">
        <v>142</v>
      </c>
      <c r="X379" s="374" t="s">
        <v>461</v>
      </c>
    </row>
    <row r="380" spans="1:24" s="23" customFormat="1" ht="18" customHeight="1" x14ac:dyDescent="0.25">
      <c r="A380" s="374">
        <f t="shared" si="127"/>
        <v>342</v>
      </c>
      <c r="B380" s="65" t="s">
        <v>471</v>
      </c>
      <c r="C380" s="374" t="s">
        <v>57</v>
      </c>
      <c r="D380" s="374"/>
      <c r="E380" s="374"/>
      <c r="F380" s="224">
        <v>1763.3</v>
      </c>
      <c r="G380" s="301">
        <v>1579.6</v>
      </c>
      <c r="H380" s="49">
        <f t="shared" si="125"/>
        <v>3448693.29</v>
      </c>
      <c r="I380" s="350">
        <f>ROUND(G380*(256.88+332.83+191.67+381.86+292.97+727.06),2)-210000</f>
        <v>3238693.29</v>
      </c>
      <c r="J380" s="49">
        <v>0</v>
      </c>
      <c r="K380" s="170">
        <v>0</v>
      </c>
      <c r="L380" s="170">
        <v>0</v>
      </c>
      <c r="M380" s="170">
        <v>0</v>
      </c>
      <c r="N380" s="170">
        <v>0</v>
      </c>
      <c r="O380" s="18">
        <v>210000</v>
      </c>
      <c r="P380" s="48">
        <v>0</v>
      </c>
      <c r="Q380" s="48">
        <v>0</v>
      </c>
      <c r="R380" s="48">
        <v>0</v>
      </c>
      <c r="S380" s="305">
        <f t="shared" si="126"/>
        <v>3448693.29</v>
      </c>
      <c r="T380" s="374">
        <v>2016</v>
      </c>
      <c r="U380" s="374">
        <v>2017</v>
      </c>
      <c r="V380" s="374">
        <f t="shared" si="128"/>
        <v>16</v>
      </c>
      <c r="W380" s="65" t="s">
        <v>142</v>
      </c>
      <c r="X380" s="374" t="s">
        <v>320</v>
      </c>
    </row>
    <row r="381" spans="1:24" s="23" customFormat="1" ht="18" customHeight="1" x14ac:dyDescent="0.25">
      <c r="A381" s="374">
        <f t="shared" si="127"/>
        <v>343</v>
      </c>
      <c r="B381" s="65" t="s">
        <v>469</v>
      </c>
      <c r="C381" s="46" t="s">
        <v>56</v>
      </c>
      <c r="D381" s="374"/>
      <c r="E381" s="374"/>
      <c r="F381" s="224">
        <v>2195.9</v>
      </c>
      <c r="G381" s="301">
        <v>1977.3</v>
      </c>
      <c r="H381" s="49">
        <f t="shared" si="125"/>
        <v>6636067.4799999995</v>
      </c>
      <c r="I381" s="305">
        <v>1821547.61</v>
      </c>
      <c r="J381" s="49">
        <v>0</v>
      </c>
      <c r="K381" s="294">
        <f>ROUND(1824.94*G381,2)-O381</f>
        <v>3526141.78</v>
      </c>
      <c r="L381" s="48">
        <v>0</v>
      </c>
      <c r="M381" s="305">
        <v>1206066.01</v>
      </c>
      <c r="N381" s="48">
        <v>0</v>
      </c>
      <c r="O381" s="48">
        <v>82312.08</v>
      </c>
      <c r="P381" s="48">
        <v>0</v>
      </c>
      <c r="Q381" s="48">
        <v>0</v>
      </c>
      <c r="R381" s="48">
        <v>0</v>
      </c>
      <c r="S381" s="94">
        <f t="shared" si="126"/>
        <v>6636067.4799999995</v>
      </c>
      <c r="T381" s="374">
        <v>2016</v>
      </c>
      <c r="U381" s="374">
        <v>2017</v>
      </c>
      <c r="V381" s="374">
        <f t="shared" si="128"/>
        <v>17</v>
      </c>
      <c r="W381" s="409" t="s">
        <v>142</v>
      </c>
      <c r="X381" s="374" t="s">
        <v>461</v>
      </c>
    </row>
    <row r="382" spans="1:24" s="23" customFormat="1" ht="18" customHeight="1" x14ac:dyDescent="0.25">
      <c r="A382" s="374">
        <f t="shared" si="127"/>
        <v>344</v>
      </c>
      <c r="B382" s="65" t="s">
        <v>472</v>
      </c>
      <c r="C382" s="374" t="s">
        <v>56</v>
      </c>
      <c r="D382" s="374"/>
      <c r="E382" s="374"/>
      <c r="F382" s="224">
        <v>2421</v>
      </c>
      <c r="G382" s="301">
        <v>2203.3000000000002</v>
      </c>
      <c r="H382" s="49">
        <f t="shared" si="125"/>
        <v>5464007.7400000002</v>
      </c>
      <c r="I382" s="350">
        <f>ROUND(G382*(256.88+332.83+191.67+381.86+292.97+727.06),2)-340000</f>
        <v>4470398.79</v>
      </c>
      <c r="J382" s="49">
        <v>0</v>
      </c>
      <c r="K382" s="18">
        <v>0</v>
      </c>
      <c r="L382" s="18">
        <v>0</v>
      </c>
      <c r="M382" s="18">
        <v>0</v>
      </c>
      <c r="N382" s="18">
        <f>ROUND(G382*296.65,2)</f>
        <v>653608.94999999995</v>
      </c>
      <c r="O382" s="48">
        <v>340000</v>
      </c>
      <c r="P382" s="48">
        <v>0</v>
      </c>
      <c r="Q382" s="48">
        <v>0</v>
      </c>
      <c r="R382" s="48">
        <v>0</v>
      </c>
      <c r="S382" s="305">
        <f t="shared" si="126"/>
        <v>5464007.7400000002</v>
      </c>
      <c r="T382" s="374">
        <v>2016</v>
      </c>
      <c r="U382" s="374">
        <v>2017</v>
      </c>
      <c r="V382" s="374">
        <f t="shared" si="128"/>
        <v>18</v>
      </c>
      <c r="W382" s="65" t="s">
        <v>142</v>
      </c>
      <c r="X382" s="374" t="s">
        <v>461</v>
      </c>
    </row>
    <row r="383" spans="1:24" s="23" customFormat="1" ht="18" customHeight="1" x14ac:dyDescent="0.25">
      <c r="A383" s="374">
        <f t="shared" si="127"/>
        <v>345</v>
      </c>
      <c r="B383" s="65" t="s">
        <v>368</v>
      </c>
      <c r="C383" s="374">
        <v>1979</v>
      </c>
      <c r="D383" s="374"/>
      <c r="E383" s="374"/>
      <c r="F383" s="32">
        <v>5959.8</v>
      </c>
      <c r="G383" s="133">
        <v>5061.5</v>
      </c>
      <c r="H383" s="49">
        <f t="shared" si="125"/>
        <v>9113404.9800000004</v>
      </c>
      <c r="I383" s="69">
        <v>0</v>
      </c>
      <c r="J383" s="48">
        <f>ROUND(3*3037801.66,2)-227835.12</f>
        <v>8885569.8600000013</v>
      </c>
      <c r="K383" s="48">
        <v>0</v>
      </c>
      <c r="L383" s="48">
        <v>0</v>
      </c>
      <c r="M383" s="48">
        <v>0</v>
      </c>
      <c r="N383" s="48">
        <v>0</v>
      </c>
      <c r="O383" s="48">
        <v>227835.12</v>
      </c>
      <c r="P383" s="48">
        <v>0</v>
      </c>
      <c r="Q383" s="48">
        <v>0</v>
      </c>
      <c r="R383" s="48">
        <v>0</v>
      </c>
      <c r="S383" s="94">
        <f t="shared" si="126"/>
        <v>9113404.9800000004</v>
      </c>
      <c r="T383" s="374">
        <v>2017</v>
      </c>
      <c r="U383" s="374">
        <v>2017</v>
      </c>
      <c r="V383" s="374">
        <f t="shared" si="128"/>
        <v>19</v>
      </c>
      <c r="W383" s="50" t="s">
        <v>387</v>
      </c>
      <c r="X383" s="374">
        <v>9</v>
      </c>
    </row>
    <row r="384" spans="1:24" s="23" customFormat="1" ht="18" customHeight="1" x14ac:dyDescent="0.25">
      <c r="A384" s="374">
        <f t="shared" si="127"/>
        <v>346</v>
      </c>
      <c r="B384" s="65" t="s">
        <v>25</v>
      </c>
      <c r="C384" s="374">
        <v>1978</v>
      </c>
      <c r="D384" s="374"/>
      <c r="E384" s="374"/>
      <c r="F384" s="126">
        <v>7959.9</v>
      </c>
      <c r="G384" s="133">
        <v>6823.3</v>
      </c>
      <c r="H384" s="49">
        <f t="shared" si="125"/>
        <v>2734164.54</v>
      </c>
      <c r="I384" s="170">
        <f>ROUND(400.71*$G384,2)-O384</f>
        <v>2617593.2400000002</v>
      </c>
      <c r="J384" s="48">
        <v>0</v>
      </c>
      <c r="K384" s="48">
        <v>0</v>
      </c>
      <c r="L384" s="48">
        <v>0</v>
      </c>
      <c r="M384" s="48">
        <v>0</v>
      </c>
      <c r="N384" s="48">
        <v>0</v>
      </c>
      <c r="O384" s="48">
        <v>116571.3</v>
      </c>
      <c r="P384" s="48">
        <v>0</v>
      </c>
      <c r="Q384" s="48">
        <v>0</v>
      </c>
      <c r="R384" s="48">
        <v>0</v>
      </c>
      <c r="S384" s="94">
        <f t="shared" si="126"/>
        <v>2734164.54</v>
      </c>
      <c r="T384" s="374">
        <v>2017</v>
      </c>
      <c r="U384" s="374">
        <v>2017</v>
      </c>
      <c r="V384" s="374">
        <f t="shared" si="128"/>
        <v>20</v>
      </c>
      <c r="W384" s="65" t="s">
        <v>387</v>
      </c>
      <c r="X384" s="374">
        <v>9</v>
      </c>
    </row>
    <row r="385" spans="1:24" s="23" customFormat="1" ht="18" customHeight="1" x14ac:dyDescent="0.25">
      <c r="A385" s="374">
        <f t="shared" si="127"/>
        <v>347</v>
      </c>
      <c r="B385" s="65" t="s">
        <v>373</v>
      </c>
      <c r="C385" s="374">
        <v>1986</v>
      </c>
      <c r="D385" s="374"/>
      <c r="E385" s="374"/>
      <c r="F385" s="126">
        <v>4394.3999999999996</v>
      </c>
      <c r="G385" s="133">
        <v>3760.7</v>
      </c>
      <c r="H385" s="49">
        <f t="shared" si="125"/>
        <v>1506950.1</v>
      </c>
      <c r="I385" s="170">
        <f>ROUND(400.71*$G385,2)-O385</f>
        <v>1442701.1800000002</v>
      </c>
      <c r="J385" s="48">
        <v>0</v>
      </c>
      <c r="K385" s="48">
        <v>0</v>
      </c>
      <c r="L385" s="48">
        <v>0</v>
      </c>
      <c r="M385" s="48">
        <v>0</v>
      </c>
      <c r="N385" s="48">
        <v>0</v>
      </c>
      <c r="O385" s="48">
        <v>64248.92</v>
      </c>
      <c r="P385" s="48">
        <v>0</v>
      </c>
      <c r="Q385" s="48">
        <v>0</v>
      </c>
      <c r="R385" s="48">
        <v>0</v>
      </c>
      <c r="S385" s="94">
        <f t="shared" si="126"/>
        <v>1506950.1</v>
      </c>
      <c r="T385" s="374">
        <v>2017</v>
      </c>
      <c r="U385" s="374">
        <v>2017</v>
      </c>
      <c r="V385" s="374">
        <f t="shared" si="128"/>
        <v>21</v>
      </c>
      <c r="W385" s="65" t="s">
        <v>387</v>
      </c>
      <c r="X385" s="374">
        <v>9</v>
      </c>
    </row>
    <row r="386" spans="1:24" s="23" customFormat="1" ht="18" customHeight="1" x14ac:dyDescent="0.25">
      <c r="A386" s="374">
        <f t="shared" si="127"/>
        <v>348</v>
      </c>
      <c r="B386" s="24" t="s">
        <v>367</v>
      </c>
      <c r="C386" s="132">
        <v>1979</v>
      </c>
      <c r="D386" s="132"/>
      <c r="E386" s="132"/>
      <c r="F386" s="296">
        <v>6027.8</v>
      </c>
      <c r="G386" s="136">
        <v>5271</v>
      </c>
      <c r="H386" s="49">
        <f t="shared" si="125"/>
        <v>9113404.9800000004</v>
      </c>
      <c r="I386" s="170">
        <v>0</v>
      </c>
      <c r="J386" s="48">
        <f>ROUND(3*3037801.66,2)-227835.12</f>
        <v>8885569.8600000013</v>
      </c>
      <c r="K386" s="303">
        <v>0</v>
      </c>
      <c r="L386" s="48">
        <v>0</v>
      </c>
      <c r="M386" s="48">
        <v>0</v>
      </c>
      <c r="N386" s="48">
        <v>0</v>
      </c>
      <c r="O386" s="48">
        <v>227835.12</v>
      </c>
      <c r="P386" s="48">
        <v>0</v>
      </c>
      <c r="Q386" s="48">
        <v>0</v>
      </c>
      <c r="R386" s="48">
        <v>0</v>
      </c>
      <c r="S386" s="94">
        <f t="shared" si="126"/>
        <v>9113404.9800000004</v>
      </c>
      <c r="T386" s="374">
        <v>2017</v>
      </c>
      <c r="U386" s="374">
        <v>2017</v>
      </c>
      <c r="V386" s="374">
        <f t="shared" si="128"/>
        <v>22</v>
      </c>
      <c r="W386" s="307" t="s">
        <v>387</v>
      </c>
      <c r="X386" s="132">
        <v>9</v>
      </c>
    </row>
    <row r="387" spans="1:24" s="23" customFormat="1" ht="18" customHeight="1" x14ac:dyDescent="0.25">
      <c r="A387" s="374">
        <f t="shared" si="127"/>
        <v>349</v>
      </c>
      <c r="B387" s="65" t="s">
        <v>382</v>
      </c>
      <c r="C387" s="374">
        <v>1969</v>
      </c>
      <c r="D387" s="374"/>
      <c r="E387" s="374"/>
      <c r="F387" s="126">
        <v>4061.8</v>
      </c>
      <c r="G387" s="126">
        <v>3681.9</v>
      </c>
      <c r="H387" s="49">
        <f t="shared" si="125"/>
        <v>1733217.61</v>
      </c>
      <c r="I387" s="170">
        <f>ROUND(470.74*$G387,2)-O387</f>
        <v>1659320.84</v>
      </c>
      <c r="J387" s="48">
        <v>0</v>
      </c>
      <c r="K387" s="48">
        <v>0</v>
      </c>
      <c r="L387" s="48">
        <v>0</v>
      </c>
      <c r="M387" s="48">
        <v>0</v>
      </c>
      <c r="N387" s="48">
        <v>0</v>
      </c>
      <c r="O387" s="48">
        <v>73896.77</v>
      </c>
      <c r="P387" s="48">
        <v>0</v>
      </c>
      <c r="Q387" s="48">
        <v>0</v>
      </c>
      <c r="R387" s="48">
        <v>0</v>
      </c>
      <c r="S387" s="94">
        <f t="shared" si="126"/>
        <v>1733217.61</v>
      </c>
      <c r="T387" s="374">
        <v>2017</v>
      </c>
      <c r="U387" s="374">
        <v>2017</v>
      </c>
      <c r="V387" s="374">
        <f t="shared" si="128"/>
        <v>23</v>
      </c>
      <c r="W387" s="65" t="s">
        <v>388</v>
      </c>
      <c r="X387" s="374">
        <v>9</v>
      </c>
    </row>
    <row r="388" spans="1:24" s="23" customFormat="1" ht="18" customHeight="1" x14ac:dyDescent="0.25">
      <c r="A388" s="374">
        <f t="shared" si="127"/>
        <v>350</v>
      </c>
      <c r="B388" s="65" t="s">
        <v>383</v>
      </c>
      <c r="C388" s="374">
        <v>1987</v>
      </c>
      <c r="D388" s="374"/>
      <c r="E388" s="374"/>
      <c r="F388" s="126">
        <v>3017.5</v>
      </c>
      <c r="G388" s="126">
        <v>2609.6</v>
      </c>
      <c r="H388" s="49">
        <f t="shared" si="125"/>
        <v>1228443.1000000001</v>
      </c>
      <c r="I388" s="69">
        <f>ROUND(470.74*$G388,2)-O388</f>
        <v>1176067.7000000002</v>
      </c>
      <c r="J388" s="48">
        <v>0</v>
      </c>
      <c r="K388" s="48">
        <v>0</v>
      </c>
      <c r="L388" s="48">
        <v>0</v>
      </c>
      <c r="M388" s="48">
        <v>0</v>
      </c>
      <c r="N388" s="48">
        <v>0</v>
      </c>
      <c r="O388" s="48">
        <v>52375.4</v>
      </c>
      <c r="P388" s="48">
        <v>0</v>
      </c>
      <c r="Q388" s="48">
        <v>0</v>
      </c>
      <c r="R388" s="48">
        <v>0</v>
      </c>
      <c r="S388" s="94">
        <f t="shared" si="126"/>
        <v>1228443.1000000001</v>
      </c>
      <c r="T388" s="374">
        <v>2017</v>
      </c>
      <c r="U388" s="374">
        <v>2017</v>
      </c>
      <c r="V388" s="374">
        <f t="shared" si="128"/>
        <v>24</v>
      </c>
      <c r="W388" s="65" t="s">
        <v>388</v>
      </c>
      <c r="X388" s="374">
        <v>9</v>
      </c>
    </row>
    <row r="389" spans="1:24" s="23" customFormat="1" ht="18" customHeight="1" x14ac:dyDescent="0.25">
      <c r="A389" s="374">
        <f t="shared" si="127"/>
        <v>351</v>
      </c>
      <c r="B389" s="138" t="s">
        <v>26</v>
      </c>
      <c r="C389" s="137">
        <v>1989</v>
      </c>
      <c r="D389" s="374"/>
      <c r="E389" s="374"/>
      <c r="F389" s="298">
        <v>5304.1</v>
      </c>
      <c r="G389" s="298">
        <v>4379.6000000000004</v>
      </c>
      <c r="H389" s="49">
        <f t="shared" si="125"/>
        <v>3082099.7</v>
      </c>
      <c r="I389" s="170">
        <v>0</v>
      </c>
      <c r="J389" s="48">
        <v>0</v>
      </c>
      <c r="K389" s="294">
        <f>ROUND(703.74*G389,2)-O389</f>
        <v>2998071.9000000004</v>
      </c>
      <c r="L389" s="48">
        <v>0</v>
      </c>
      <c r="M389" s="48">
        <v>0</v>
      </c>
      <c r="N389" s="48">
        <v>0</v>
      </c>
      <c r="O389" s="48">
        <v>84027.8</v>
      </c>
      <c r="P389" s="48">
        <v>0</v>
      </c>
      <c r="Q389" s="48">
        <v>0</v>
      </c>
      <c r="R389" s="48">
        <v>0</v>
      </c>
      <c r="S389" s="94">
        <f t="shared" si="126"/>
        <v>3082099.7</v>
      </c>
      <c r="T389" s="374">
        <v>2017</v>
      </c>
      <c r="U389" s="374">
        <v>2017</v>
      </c>
      <c r="V389" s="374">
        <f t="shared" si="128"/>
        <v>25</v>
      </c>
      <c r="W389" s="141" t="s">
        <v>387</v>
      </c>
      <c r="X389" s="140">
        <v>9</v>
      </c>
    </row>
    <row r="390" spans="1:24" s="23" customFormat="1" ht="18" customHeight="1" x14ac:dyDescent="0.25">
      <c r="A390" s="374">
        <f t="shared" si="127"/>
        <v>352</v>
      </c>
      <c r="B390" s="220" t="s">
        <v>380</v>
      </c>
      <c r="C390" s="176">
        <v>1980</v>
      </c>
      <c r="D390" s="176"/>
      <c r="E390" s="176"/>
      <c r="F390" s="299">
        <v>2377.5</v>
      </c>
      <c r="G390" s="126">
        <v>2073.4</v>
      </c>
      <c r="H390" s="49">
        <f t="shared" si="125"/>
        <v>799627.44</v>
      </c>
      <c r="I390" s="170">
        <f>ROUND(385.66*$G390,2)-O390</f>
        <v>765533.7699999999</v>
      </c>
      <c r="J390" s="48">
        <v>0</v>
      </c>
      <c r="K390" s="303">
        <v>0</v>
      </c>
      <c r="L390" s="48">
        <v>0</v>
      </c>
      <c r="M390" s="48">
        <v>0</v>
      </c>
      <c r="N390" s="48">
        <v>0</v>
      </c>
      <c r="O390" s="48">
        <v>34093.67</v>
      </c>
      <c r="P390" s="48">
        <v>0</v>
      </c>
      <c r="Q390" s="48">
        <v>0</v>
      </c>
      <c r="R390" s="48">
        <v>0</v>
      </c>
      <c r="S390" s="94">
        <f t="shared" si="126"/>
        <v>799627.44</v>
      </c>
      <c r="T390" s="374">
        <v>2017</v>
      </c>
      <c r="U390" s="374">
        <v>2017</v>
      </c>
      <c r="V390" s="374">
        <f t="shared" si="128"/>
        <v>26</v>
      </c>
      <c r="W390" s="65" t="s">
        <v>387</v>
      </c>
      <c r="X390" s="374">
        <v>5</v>
      </c>
    </row>
    <row r="391" spans="1:24" s="23" customFormat="1" ht="18" customHeight="1" x14ac:dyDescent="0.25">
      <c r="A391" s="374">
        <f t="shared" si="127"/>
        <v>353</v>
      </c>
      <c r="B391" s="65" t="s">
        <v>381</v>
      </c>
      <c r="C391" s="374">
        <v>1983</v>
      </c>
      <c r="D391" s="374"/>
      <c r="E391" s="374"/>
      <c r="F391" s="126">
        <v>4521.2</v>
      </c>
      <c r="G391" s="126">
        <v>4026.5</v>
      </c>
      <c r="H391" s="169">
        <f t="shared" si="125"/>
        <v>1180730.8600000001</v>
      </c>
      <c r="I391" s="69">
        <f>ROUND(293.24*$G391,2)-O391</f>
        <v>1114521.6500000001</v>
      </c>
      <c r="J391" s="170">
        <v>0</v>
      </c>
      <c r="K391" s="69">
        <v>0</v>
      </c>
      <c r="L391" s="69">
        <v>0</v>
      </c>
      <c r="M391" s="69">
        <v>0</v>
      </c>
      <c r="N391" s="69">
        <v>0</v>
      </c>
      <c r="O391" s="69">
        <v>66209.210000000006</v>
      </c>
      <c r="P391" s="170">
        <v>0</v>
      </c>
      <c r="Q391" s="170">
        <v>0</v>
      </c>
      <c r="R391" s="170">
        <v>0</v>
      </c>
      <c r="S391" s="304">
        <f t="shared" si="126"/>
        <v>1180730.8600000001</v>
      </c>
      <c r="T391" s="374">
        <v>2017</v>
      </c>
      <c r="U391" s="374">
        <v>2017</v>
      </c>
      <c r="V391" s="374">
        <f t="shared" si="128"/>
        <v>27</v>
      </c>
      <c r="W391" s="65" t="s">
        <v>387</v>
      </c>
      <c r="X391" s="374">
        <v>5</v>
      </c>
    </row>
    <row r="392" spans="1:24" s="23" customFormat="1" ht="18" customHeight="1" x14ac:dyDescent="0.25">
      <c r="A392" s="374">
        <f t="shared" si="127"/>
        <v>354</v>
      </c>
      <c r="B392" s="368" t="s">
        <v>474</v>
      </c>
      <c r="C392" s="378">
        <v>1980</v>
      </c>
      <c r="D392" s="378"/>
      <c r="E392" s="378"/>
      <c r="F392" s="362">
        <v>3937.4</v>
      </c>
      <c r="G392" s="363">
        <v>3444.8</v>
      </c>
      <c r="H392" s="349">
        <f t="shared" si="125"/>
        <v>4990275.07</v>
      </c>
      <c r="I392" s="396">
        <f>ROUND(G392*1141.9,2)</f>
        <v>3933617.12</v>
      </c>
      <c r="J392" s="170">
        <v>0</v>
      </c>
      <c r="K392" s="170">
        <v>0</v>
      </c>
      <c r="L392" s="170">
        <v>0</v>
      </c>
      <c r="M392" s="364">
        <f>ROUND(G392*306.74,2)-O392</f>
        <v>993258.47</v>
      </c>
      <c r="N392" s="170">
        <v>0</v>
      </c>
      <c r="O392" s="365">
        <v>63399.48</v>
      </c>
      <c r="P392" s="365">
        <v>0</v>
      </c>
      <c r="Q392" s="365">
        <v>0</v>
      </c>
      <c r="R392" s="365">
        <v>0</v>
      </c>
      <c r="S392" s="366">
        <f t="shared" si="126"/>
        <v>4990275.07</v>
      </c>
      <c r="T392" s="132">
        <v>2016</v>
      </c>
      <c r="U392" s="132">
        <v>2017</v>
      </c>
      <c r="V392" s="374">
        <f t="shared" si="128"/>
        <v>28</v>
      </c>
      <c r="W392" s="65" t="s">
        <v>345</v>
      </c>
      <c r="X392" s="374">
        <v>5</v>
      </c>
    </row>
    <row r="393" spans="1:24" s="23" customFormat="1" ht="18" customHeight="1" x14ac:dyDescent="0.25">
      <c r="A393" s="374">
        <f t="shared" si="127"/>
        <v>355</v>
      </c>
      <c r="B393" s="65" t="s">
        <v>385</v>
      </c>
      <c r="C393" s="374">
        <v>1981</v>
      </c>
      <c r="D393" s="374"/>
      <c r="E393" s="374"/>
      <c r="F393" s="126">
        <v>2380.1</v>
      </c>
      <c r="G393" s="126">
        <v>2074.1</v>
      </c>
      <c r="H393" s="169">
        <f t="shared" si="125"/>
        <v>2175502.75</v>
      </c>
      <c r="I393" s="69">
        <f>ROUND((332.83+716.06)*$G393,2)-O393</f>
        <v>2080570.57</v>
      </c>
      <c r="J393" s="170">
        <v>0</v>
      </c>
      <c r="K393" s="69">
        <v>0</v>
      </c>
      <c r="L393" s="69">
        <v>0</v>
      </c>
      <c r="M393" s="69">
        <v>0</v>
      </c>
      <c r="N393" s="69">
        <v>0</v>
      </c>
      <c r="O393" s="170">
        <v>94932.18</v>
      </c>
      <c r="P393" s="170">
        <v>0</v>
      </c>
      <c r="Q393" s="170">
        <v>0</v>
      </c>
      <c r="R393" s="170">
        <v>0</v>
      </c>
      <c r="S393" s="304">
        <f t="shared" si="126"/>
        <v>2175502.75</v>
      </c>
      <c r="T393" s="374">
        <v>2017</v>
      </c>
      <c r="U393" s="374">
        <v>2017</v>
      </c>
      <c r="V393" s="374">
        <f t="shared" si="128"/>
        <v>29</v>
      </c>
      <c r="W393" s="65" t="s">
        <v>387</v>
      </c>
      <c r="X393" s="374">
        <v>5</v>
      </c>
    </row>
    <row r="394" spans="1:24" s="23" customFormat="1" ht="18" customHeight="1" x14ac:dyDescent="0.25">
      <c r="A394" s="374">
        <f t="shared" si="127"/>
        <v>356</v>
      </c>
      <c r="B394" s="65" t="s">
        <v>394</v>
      </c>
      <c r="C394" s="374">
        <v>1957</v>
      </c>
      <c r="D394" s="374"/>
      <c r="E394" s="374"/>
      <c r="F394" s="126">
        <v>1767.2</v>
      </c>
      <c r="G394" s="126">
        <v>1647.9</v>
      </c>
      <c r="H394" s="169">
        <f t="shared" si="125"/>
        <v>2545230.9900000002</v>
      </c>
      <c r="I394" s="44">
        <f>ROUND((332.83+191.67+292.97+727.06)*G394,2)-O394</f>
        <v>2412859.77</v>
      </c>
      <c r="J394" s="169">
        <v>0</v>
      </c>
      <c r="K394" s="69">
        <v>0</v>
      </c>
      <c r="L394" s="69">
        <v>0</v>
      </c>
      <c r="M394" s="69">
        <v>0</v>
      </c>
      <c r="N394" s="69">
        <v>0</v>
      </c>
      <c r="O394" s="170">
        <v>132371.22</v>
      </c>
      <c r="P394" s="170">
        <v>0</v>
      </c>
      <c r="Q394" s="170">
        <v>0</v>
      </c>
      <c r="R394" s="170">
        <v>0</v>
      </c>
      <c r="S394" s="304">
        <f t="shared" si="126"/>
        <v>2545230.9900000002</v>
      </c>
      <c r="T394" s="374">
        <v>2017</v>
      </c>
      <c r="U394" s="374">
        <v>2017</v>
      </c>
      <c r="V394" s="374">
        <f t="shared" si="128"/>
        <v>30</v>
      </c>
      <c r="W394" s="65" t="s">
        <v>388</v>
      </c>
      <c r="X394" s="374">
        <v>3</v>
      </c>
    </row>
    <row r="395" spans="1:24" s="23" customFormat="1" ht="18" customHeight="1" x14ac:dyDescent="0.25">
      <c r="A395" s="374">
        <f t="shared" si="127"/>
        <v>357</v>
      </c>
      <c r="B395" s="203" t="s">
        <v>393</v>
      </c>
      <c r="C395" s="237">
        <v>1969</v>
      </c>
      <c r="D395" s="237"/>
      <c r="E395" s="237"/>
      <c r="F395" s="300">
        <v>4553.1000000000004</v>
      </c>
      <c r="G395" s="300">
        <v>4115.8999999999996</v>
      </c>
      <c r="H395" s="238">
        <f t="shared" si="125"/>
        <v>4987236.03</v>
      </c>
      <c r="I395" s="265">
        <f>ROUND((191.67+292.97+727.06)*$G395,2)-O395</f>
        <v>4688001.87</v>
      </c>
      <c r="J395" s="239">
        <v>0</v>
      </c>
      <c r="K395" s="265">
        <v>0</v>
      </c>
      <c r="L395" s="265">
        <v>0</v>
      </c>
      <c r="M395" s="265">
        <v>0</v>
      </c>
      <c r="N395" s="265">
        <v>0</v>
      </c>
      <c r="O395" s="239">
        <v>299234.15999999997</v>
      </c>
      <c r="P395" s="239">
        <v>0</v>
      </c>
      <c r="Q395" s="239">
        <v>0</v>
      </c>
      <c r="R395" s="239">
        <v>0</v>
      </c>
      <c r="S395" s="306">
        <f t="shared" si="126"/>
        <v>4987236.03</v>
      </c>
      <c r="T395" s="237">
        <v>2017</v>
      </c>
      <c r="U395" s="237">
        <v>2017</v>
      </c>
      <c r="V395" s="374">
        <f t="shared" si="128"/>
        <v>31</v>
      </c>
      <c r="W395" s="65" t="s">
        <v>388</v>
      </c>
      <c r="X395" s="374">
        <v>5</v>
      </c>
    </row>
    <row r="396" spans="1:24" ht="18" customHeight="1" x14ac:dyDescent="0.25">
      <c r="A396" s="417" t="s">
        <v>257</v>
      </c>
      <c r="B396" s="423"/>
      <c r="C396" s="52"/>
      <c r="D396" s="52"/>
      <c r="E396" s="192"/>
      <c r="F396" s="64">
        <f t="shared" ref="F396:O396" si="129">SUM(F365:F395)</f>
        <v>129810.2</v>
      </c>
      <c r="G396" s="64">
        <f t="shared" si="129"/>
        <v>114490.8</v>
      </c>
      <c r="H396" s="45">
        <f t="shared" si="129"/>
        <v>118713305.14999999</v>
      </c>
      <c r="I396" s="45">
        <f t="shared" si="129"/>
        <v>51888931.630000003</v>
      </c>
      <c r="J396" s="45">
        <f t="shared" si="129"/>
        <v>35542279.440000005</v>
      </c>
      <c r="K396" s="45">
        <f t="shared" si="129"/>
        <v>9407721.7599999998</v>
      </c>
      <c r="L396" s="45">
        <f t="shared" si="129"/>
        <v>0</v>
      </c>
      <c r="M396" s="45">
        <f t="shared" si="129"/>
        <v>17047111.869999997</v>
      </c>
      <c r="N396" s="45">
        <f t="shared" si="129"/>
        <v>653608.94999999995</v>
      </c>
      <c r="O396" s="45">
        <f t="shared" si="129"/>
        <v>4173651.5</v>
      </c>
      <c r="P396" s="45">
        <f>SUM(P365:P395)</f>
        <v>0</v>
      </c>
      <c r="Q396" s="45">
        <f>SUM(Q365:Q395)</f>
        <v>0</v>
      </c>
      <c r="R396" s="45">
        <f>SUM(R365:R395)</f>
        <v>0</v>
      </c>
      <c r="S396" s="45">
        <f>SUM(S365:S395)</f>
        <v>118713305.14999999</v>
      </c>
      <c r="T396" s="21" t="s">
        <v>112</v>
      </c>
      <c r="U396" s="21" t="s">
        <v>112</v>
      </c>
      <c r="V396" s="3"/>
    </row>
    <row r="397" spans="1:24" ht="18" customHeight="1" x14ac:dyDescent="0.25">
      <c r="A397" s="419" t="s">
        <v>65</v>
      </c>
      <c r="B397" s="420"/>
      <c r="C397" s="420"/>
      <c r="D397" s="420"/>
      <c r="E397" s="421"/>
      <c r="F397" s="420"/>
      <c r="G397" s="420"/>
      <c r="H397" s="420"/>
      <c r="I397" s="420"/>
      <c r="J397" s="420"/>
      <c r="K397" s="420"/>
      <c r="L397" s="420"/>
      <c r="M397" s="420"/>
      <c r="N397" s="420"/>
      <c r="O397" s="420"/>
      <c r="P397" s="420"/>
      <c r="Q397" s="420"/>
      <c r="R397" s="420"/>
      <c r="S397" s="422"/>
      <c r="T397" s="35"/>
      <c r="U397" s="35"/>
      <c r="V397" s="35"/>
    </row>
    <row r="398" spans="1:24" ht="18" customHeight="1" x14ac:dyDescent="0.25">
      <c r="A398" s="419" t="s">
        <v>66</v>
      </c>
      <c r="B398" s="432"/>
      <c r="C398" s="420"/>
      <c r="D398" s="420"/>
      <c r="E398" s="421"/>
      <c r="F398" s="420"/>
      <c r="G398" s="420"/>
      <c r="H398" s="420"/>
      <c r="I398" s="420"/>
      <c r="J398" s="420"/>
      <c r="K398" s="420"/>
      <c r="L398" s="420"/>
      <c r="M398" s="420"/>
      <c r="N398" s="420"/>
      <c r="O398" s="420"/>
      <c r="P398" s="420"/>
      <c r="Q398" s="420"/>
      <c r="R398" s="420"/>
      <c r="S398" s="422"/>
      <c r="T398" s="35"/>
      <c r="U398" s="35"/>
      <c r="V398" s="35"/>
    </row>
    <row r="399" spans="1:24" ht="18" customHeight="1" x14ac:dyDescent="0.25">
      <c r="A399" s="374">
        <f>A395+1</f>
        <v>358</v>
      </c>
      <c r="B399" s="164" t="s">
        <v>262</v>
      </c>
      <c r="C399" s="165">
        <v>1980</v>
      </c>
      <c r="D399" s="179"/>
      <c r="E399" s="179"/>
      <c r="F399" s="147">
        <v>3953.2</v>
      </c>
      <c r="G399" s="153">
        <v>3607.13</v>
      </c>
      <c r="H399" s="49">
        <f>I399+J399+K399+L399+M399+N399+O399</f>
        <v>1106451.06</v>
      </c>
      <c r="I399" s="48">
        <v>0</v>
      </c>
      <c r="J399" s="48">
        <v>0</v>
      </c>
      <c r="K399" s="30">
        <v>0</v>
      </c>
      <c r="L399" s="48">
        <v>0</v>
      </c>
      <c r="M399" s="48">
        <f>ROUND(306.74*G399,2)-O399</f>
        <v>1040064</v>
      </c>
      <c r="N399" s="48">
        <v>0</v>
      </c>
      <c r="O399" s="48">
        <v>66387.06</v>
      </c>
      <c r="P399" s="48">
        <v>0</v>
      </c>
      <c r="Q399" s="48">
        <v>0</v>
      </c>
      <c r="R399" s="48">
        <v>0</v>
      </c>
      <c r="S399" s="94">
        <f>H399</f>
        <v>1106451.06</v>
      </c>
      <c r="T399" s="374">
        <v>2017</v>
      </c>
      <c r="U399" s="374">
        <v>2017</v>
      </c>
      <c r="V399" s="374">
        <v>1</v>
      </c>
      <c r="W399" s="166" t="s">
        <v>264</v>
      </c>
      <c r="X399" s="166">
        <v>5</v>
      </c>
    </row>
    <row r="400" spans="1:24" ht="18" customHeight="1" x14ac:dyDescent="0.25">
      <c r="A400" s="374">
        <f>A399+1</f>
        <v>359</v>
      </c>
      <c r="B400" s="164" t="s">
        <v>263</v>
      </c>
      <c r="C400" s="165">
        <v>1974</v>
      </c>
      <c r="D400" s="165"/>
      <c r="E400" s="193"/>
      <c r="F400" s="167">
        <v>4691.3999999999996</v>
      </c>
      <c r="G400" s="167">
        <v>3421.3</v>
      </c>
      <c r="H400" s="49">
        <f>I400+J400+K400+L400+M400+N400+O400</f>
        <v>3669173.19</v>
      </c>
      <c r="I400" s="48">
        <v>0</v>
      </c>
      <c r="J400" s="48">
        <v>0</v>
      </c>
      <c r="K400" s="30">
        <f>ROUND(1072.45*G400,2)-O400</f>
        <v>3571464.4699999997</v>
      </c>
      <c r="L400" s="48">
        <v>0</v>
      </c>
      <c r="M400" s="69">
        <v>0</v>
      </c>
      <c r="N400" s="48">
        <v>0</v>
      </c>
      <c r="O400" s="48">
        <v>97708.72</v>
      </c>
      <c r="P400" s="48">
        <v>0</v>
      </c>
      <c r="Q400" s="48">
        <v>0</v>
      </c>
      <c r="R400" s="48">
        <v>0</v>
      </c>
      <c r="S400" s="94">
        <f>H400</f>
        <v>3669173.19</v>
      </c>
      <c r="T400" s="374">
        <v>2017</v>
      </c>
      <c r="U400" s="374">
        <v>2017</v>
      </c>
      <c r="V400" s="374">
        <f>V399+1</f>
        <v>2</v>
      </c>
      <c r="W400" s="166" t="s">
        <v>264</v>
      </c>
      <c r="X400" s="166">
        <v>5</v>
      </c>
    </row>
    <row r="401" spans="1:24" ht="18" customHeight="1" x14ac:dyDescent="0.25">
      <c r="A401" s="417" t="s">
        <v>257</v>
      </c>
      <c r="B401" s="423"/>
      <c r="C401" s="52"/>
      <c r="D401" s="52"/>
      <c r="E401" s="192"/>
      <c r="F401" s="64">
        <f t="shared" ref="F401:O401" si="130">SUM(F399:F400)</f>
        <v>8644.5999999999985</v>
      </c>
      <c r="G401" s="93">
        <f t="shared" si="130"/>
        <v>7028.43</v>
      </c>
      <c r="H401" s="51">
        <f t="shared" si="130"/>
        <v>4775624.25</v>
      </c>
      <c r="I401" s="45">
        <f t="shared" si="130"/>
        <v>0</v>
      </c>
      <c r="J401" s="45">
        <f t="shared" si="130"/>
        <v>0</v>
      </c>
      <c r="K401" s="45">
        <f t="shared" si="130"/>
        <v>3571464.4699999997</v>
      </c>
      <c r="L401" s="45">
        <f t="shared" si="130"/>
        <v>0</v>
      </c>
      <c r="M401" s="45">
        <f t="shared" si="130"/>
        <v>1040064</v>
      </c>
      <c r="N401" s="45">
        <f t="shared" si="130"/>
        <v>0</v>
      </c>
      <c r="O401" s="45">
        <f t="shared" si="130"/>
        <v>164095.78</v>
      </c>
      <c r="P401" s="45">
        <f>SUM(P399:P400)</f>
        <v>0</v>
      </c>
      <c r="Q401" s="45">
        <f>SUM(Q399:Q400)</f>
        <v>0</v>
      </c>
      <c r="R401" s="45">
        <f>SUM(R399:R400)</f>
        <v>0</v>
      </c>
      <c r="S401" s="93">
        <f>SUM(S399:S400)</f>
        <v>4775624.25</v>
      </c>
      <c r="T401" s="21" t="s">
        <v>112</v>
      </c>
      <c r="U401" s="21" t="s">
        <v>112</v>
      </c>
      <c r="V401" s="3"/>
    </row>
    <row r="402" spans="1:24" ht="18" customHeight="1" x14ac:dyDescent="0.25">
      <c r="A402" s="419" t="s">
        <v>68</v>
      </c>
      <c r="B402" s="420"/>
      <c r="C402" s="420"/>
      <c r="D402" s="420"/>
      <c r="E402" s="421"/>
      <c r="F402" s="420"/>
      <c r="G402" s="420"/>
      <c r="H402" s="420"/>
      <c r="I402" s="420"/>
      <c r="J402" s="420"/>
      <c r="K402" s="420"/>
      <c r="L402" s="420"/>
      <c r="M402" s="420"/>
      <c r="N402" s="420"/>
      <c r="O402" s="420"/>
      <c r="P402" s="420"/>
      <c r="Q402" s="420"/>
      <c r="R402" s="420"/>
      <c r="S402" s="422"/>
      <c r="T402" s="35"/>
      <c r="U402" s="35"/>
      <c r="V402" s="35"/>
    </row>
    <row r="403" spans="1:24" s="23" customFormat="1" ht="18" customHeight="1" x14ac:dyDescent="0.25">
      <c r="A403" s="46">
        <f>A400+1</f>
        <v>360</v>
      </c>
      <c r="B403" s="47" t="s">
        <v>501</v>
      </c>
      <c r="C403" s="46">
        <v>1973</v>
      </c>
      <c r="D403" s="46"/>
      <c r="E403" s="176"/>
      <c r="F403" s="240">
        <v>430.9</v>
      </c>
      <c r="G403" s="240">
        <v>401.5</v>
      </c>
      <c r="H403" s="49">
        <f t="shared" ref="H403:H408" si="131">I403+J403+K403+L403+M403+N403+O403</f>
        <v>1690973.46</v>
      </c>
      <c r="I403" s="48">
        <v>0</v>
      </c>
      <c r="J403" s="48">
        <v>0</v>
      </c>
      <c r="K403" s="48">
        <f>ROUND(4211.64*G403,2)-O403</f>
        <v>1631908.56</v>
      </c>
      <c r="L403" s="48">
        <v>0</v>
      </c>
      <c r="M403" s="48">
        <v>0</v>
      </c>
      <c r="N403" s="48">
        <v>0</v>
      </c>
      <c r="O403" s="48">
        <v>59064.9</v>
      </c>
      <c r="P403" s="48">
        <v>0</v>
      </c>
      <c r="Q403" s="48">
        <v>0</v>
      </c>
      <c r="R403" s="48">
        <v>0</v>
      </c>
      <c r="S403" s="91">
        <f t="shared" ref="S403:S408" si="132">H403</f>
        <v>1690973.46</v>
      </c>
      <c r="T403" s="374">
        <v>2017</v>
      </c>
      <c r="U403" s="374">
        <v>2017</v>
      </c>
      <c r="V403" s="374">
        <v>1</v>
      </c>
      <c r="W403" s="47" t="s">
        <v>150</v>
      </c>
      <c r="X403" s="47" t="s">
        <v>16</v>
      </c>
    </row>
    <row r="404" spans="1:24" s="23" customFormat="1" ht="18" customHeight="1" x14ac:dyDescent="0.25">
      <c r="A404" s="46">
        <f>A403+1</f>
        <v>361</v>
      </c>
      <c r="B404" s="47" t="s">
        <v>622</v>
      </c>
      <c r="C404" s="46">
        <v>1966</v>
      </c>
      <c r="D404" s="46"/>
      <c r="E404" s="176"/>
      <c r="F404" s="240">
        <v>784.4</v>
      </c>
      <c r="G404" s="240">
        <v>725.5</v>
      </c>
      <c r="H404" s="49">
        <f t="shared" si="131"/>
        <v>3055544.82</v>
      </c>
      <c r="I404" s="48">
        <v>0</v>
      </c>
      <c r="J404" s="48">
        <v>0</v>
      </c>
      <c r="K404" s="48">
        <f>ROUND(4211.64*G404,2)-O404</f>
        <v>2975558.52</v>
      </c>
      <c r="L404" s="48">
        <v>0</v>
      </c>
      <c r="M404" s="48">
        <v>0</v>
      </c>
      <c r="N404" s="48">
        <v>0</v>
      </c>
      <c r="O404" s="48">
        <v>79986.3</v>
      </c>
      <c r="P404" s="48">
        <v>0</v>
      </c>
      <c r="Q404" s="48">
        <v>0</v>
      </c>
      <c r="R404" s="48">
        <v>0</v>
      </c>
      <c r="S404" s="91">
        <f t="shared" si="132"/>
        <v>3055544.82</v>
      </c>
      <c r="T404" s="374">
        <v>2017</v>
      </c>
      <c r="U404" s="374">
        <v>2017</v>
      </c>
      <c r="V404" s="374">
        <f>V403+1</f>
        <v>2</v>
      </c>
      <c r="W404" s="47" t="s">
        <v>272</v>
      </c>
      <c r="X404" s="47" t="s">
        <v>16</v>
      </c>
    </row>
    <row r="405" spans="1:24" s="23" customFormat="1" ht="18" customHeight="1" x14ac:dyDescent="0.25">
      <c r="A405" s="46">
        <f t="shared" ref="A405:A408" si="133">A404+1</f>
        <v>362</v>
      </c>
      <c r="B405" s="47" t="s">
        <v>269</v>
      </c>
      <c r="C405" s="46">
        <v>1970</v>
      </c>
      <c r="D405" s="46"/>
      <c r="E405" s="176"/>
      <c r="F405" s="240">
        <v>373</v>
      </c>
      <c r="G405" s="240">
        <v>345.4</v>
      </c>
      <c r="H405" s="49">
        <f t="shared" si="131"/>
        <v>1454700.46</v>
      </c>
      <c r="I405" s="48">
        <v>0</v>
      </c>
      <c r="J405" s="48">
        <v>0</v>
      </c>
      <c r="K405" s="48">
        <f>ROUND(4211.64*G405,2)-O405</f>
        <v>1393179.98</v>
      </c>
      <c r="L405" s="48">
        <v>0</v>
      </c>
      <c r="M405" s="48">
        <v>0</v>
      </c>
      <c r="N405" s="48">
        <v>0</v>
      </c>
      <c r="O405" s="48">
        <v>61520.480000000003</v>
      </c>
      <c r="P405" s="48">
        <v>0</v>
      </c>
      <c r="Q405" s="48">
        <v>0</v>
      </c>
      <c r="R405" s="48">
        <v>0</v>
      </c>
      <c r="S405" s="91">
        <f t="shared" si="132"/>
        <v>1454700.46</v>
      </c>
      <c r="T405" s="374">
        <v>2017</v>
      </c>
      <c r="U405" s="374">
        <v>2017</v>
      </c>
      <c r="V405" s="374">
        <f t="shared" ref="V405:V408" si="134">V404+1</f>
        <v>3</v>
      </c>
      <c r="W405" s="47" t="s">
        <v>150</v>
      </c>
      <c r="X405" s="47" t="s">
        <v>16</v>
      </c>
    </row>
    <row r="406" spans="1:24" s="23" customFormat="1" ht="18" customHeight="1" x14ac:dyDescent="0.25">
      <c r="A406" s="46">
        <f t="shared" si="133"/>
        <v>363</v>
      </c>
      <c r="B406" s="47" t="s">
        <v>69</v>
      </c>
      <c r="C406" s="46">
        <v>1950</v>
      </c>
      <c r="D406" s="46"/>
      <c r="E406" s="176"/>
      <c r="F406" s="240">
        <v>433.6</v>
      </c>
      <c r="G406" s="240">
        <v>388.8</v>
      </c>
      <c r="H406" s="49">
        <f t="shared" si="131"/>
        <v>65007.360000000001</v>
      </c>
      <c r="I406" s="48">
        <f>ROUND(167.2*G406,2)-O406</f>
        <v>61106.92</v>
      </c>
      <c r="J406" s="48">
        <v>0</v>
      </c>
      <c r="K406" s="48">
        <v>0</v>
      </c>
      <c r="L406" s="48">
        <v>0</v>
      </c>
      <c r="M406" s="48">
        <v>0</v>
      </c>
      <c r="N406" s="48">
        <v>0</v>
      </c>
      <c r="O406" s="48">
        <v>3900.44</v>
      </c>
      <c r="P406" s="48">
        <v>0</v>
      </c>
      <c r="Q406" s="48">
        <v>0</v>
      </c>
      <c r="R406" s="48">
        <v>0</v>
      </c>
      <c r="S406" s="91">
        <f t="shared" si="132"/>
        <v>65007.360000000001</v>
      </c>
      <c r="T406" s="374">
        <v>2017</v>
      </c>
      <c r="U406" s="374">
        <v>2017</v>
      </c>
      <c r="V406" s="374">
        <f t="shared" si="134"/>
        <v>4</v>
      </c>
      <c r="W406" s="47" t="s">
        <v>150</v>
      </c>
      <c r="X406" s="47" t="s">
        <v>16</v>
      </c>
    </row>
    <row r="407" spans="1:24" s="23" customFormat="1" ht="18" customHeight="1" x14ac:dyDescent="0.25">
      <c r="A407" s="46">
        <f t="shared" si="133"/>
        <v>364</v>
      </c>
      <c r="B407" s="47" t="s">
        <v>270</v>
      </c>
      <c r="C407" s="46">
        <v>1967</v>
      </c>
      <c r="D407" s="46"/>
      <c r="E407" s="176"/>
      <c r="F407" s="181">
        <v>1653.4</v>
      </c>
      <c r="G407" s="181">
        <v>1558.1</v>
      </c>
      <c r="H407" s="49">
        <f t="shared" si="131"/>
        <v>2843439.01</v>
      </c>
      <c r="I407" s="48">
        <v>0</v>
      </c>
      <c r="J407" s="48">
        <v>0</v>
      </c>
      <c r="K407" s="48">
        <f>ROUND(1824.94*G407,2)-O407</f>
        <v>2784927.53</v>
      </c>
      <c r="L407" s="48">
        <v>0</v>
      </c>
      <c r="M407" s="48">
        <v>0</v>
      </c>
      <c r="N407" s="48">
        <v>0</v>
      </c>
      <c r="O407" s="48">
        <v>58511.48</v>
      </c>
      <c r="P407" s="48">
        <v>0</v>
      </c>
      <c r="Q407" s="48">
        <v>0</v>
      </c>
      <c r="R407" s="48">
        <v>0</v>
      </c>
      <c r="S407" s="91">
        <f t="shared" si="132"/>
        <v>2843439.01</v>
      </c>
      <c r="T407" s="374">
        <v>2017</v>
      </c>
      <c r="U407" s="374">
        <v>2017</v>
      </c>
      <c r="V407" s="374">
        <f t="shared" si="134"/>
        <v>5</v>
      </c>
      <c r="W407" s="47" t="s">
        <v>272</v>
      </c>
      <c r="X407" s="47">
        <v>4</v>
      </c>
    </row>
    <row r="408" spans="1:24" s="23" customFormat="1" ht="18" customHeight="1" x14ac:dyDescent="0.25">
      <c r="A408" s="46">
        <f t="shared" si="133"/>
        <v>365</v>
      </c>
      <c r="B408" s="47" t="s">
        <v>271</v>
      </c>
      <c r="C408" s="46">
        <v>1983</v>
      </c>
      <c r="D408" s="46"/>
      <c r="E408" s="176"/>
      <c r="F408" s="240">
        <v>981.1</v>
      </c>
      <c r="G408" s="240">
        <v>923.3</v>
      </c>
      <c r="H408" s="49">
        <f t="shared" si="131"/>
        <v>3888607.21</v>
      </c>
      <c r="I408" s="48">
        <v>0</v>
      </c>
      <c r="J408" s="48">
        <v>0</v>
      </c>
      <c r="K408" s="48">
        <f>ROUND(4211.64*G408,2)-O408</f>
        <v>3818410.19</v>
      </c>
      <c r="L408" s="48">
        <v>0</v>
      </c>
      <c r="M408" s="48">
        <v>0</v>
      </c>
      <c r="N408" s="48">
        <v>0</v>
      </c>
      <c r="O408" s="48">
        <v>70197.02</v>
      </c>
      <c r="P408" s="48">
        <v>0</v>
      </c>
      <c r="Q408" s="48">
        <v>0</v>
      </c>
      <c r="R408" s="48">
        <v>0</v>
      </c>
      <c r="S408" s="91">
        <f t="shared" si="132"/>
        <v>3888607.21</v>
      </c>
      <c r="T408" s="374">
        <v>2017</v>
      </c>
      <c r="U408" s="374">
        <v>2017</v>
      </c>
      <c r="V408" s="374">
        <f t="shared" si="134"/>
        <v>6</v>
      </c>
      <c r="W408" s="47" t="s">
        <v>272</v>
      </c>
      <c r="X408" s="47" t="s">
        <v>16</v>
      </c>
    </row>
    <row r="409" spans="1:24" ht="18" customHeight="1" x14ac:dyDescent="0.25">
      <c r="A409" s="417" t="s">
        <v>257</v>
      </c>
      <c r="B409" s="423"/>
      <c r="C409" s="52"/>
      <c r="D409" s="52"/>
      <c r="E409" s="192"/>
      <c r="F409" s="64">
        <f t="shared" ref="F409:K409" si="135">SUM(F403:F408)</f>
        <v>4656.4000000000005</v>
      </c>
      <c r="G409" s="64">
        <f t="shared" si="135"/>
        <v>4342.6000000000004</v>
      </c>
      <c r="H409" s="51">
        <f t="shared" si="135"/>
        <v>12998272.32</v>
      </c>
      <c r="I409" s="51">
        <f t="shared" si="135"/>
        <v>61106.92</v>
      </c>
      <c r="J409" s="51">
        <f t="shared" si="135"/>
        <v>0</v>
      </c>
      <c r="K409" s="51">
        <f t="shared" si="135"/>
        <v>12603984.779999999</v>
      </c>
      <c r="L409" s="51">
        <f t="shared" ref="L409:S409" si="136">SUM(L403:L408)</f>
        <v>0</v>
      </c>
      <c r="M409" s="51">
        <f t="shared" si="136"/>
        <v>0</v>
      </c>
      <c r="N409" s="51">
        <f t="shared" si="136"/>
        <v>0</v>
      </c>
      <c r="O409" s="51">
        <f t="shared" si="136"/>
        <v>333180.62000000005</v>
      </c>
      <c r="P409" s="51">
        <f t="shared" si="136"/>
        <v>0</v>
      </c>
      <c r="Q409" s="51">
        <f t="shared" si="136"/>
        <v>0</v>
      </c>
      <c r="R409" s="51">
        <f t="shared" si="136"/>
        <v>0</v>
      </c>
      <c r="S409" s="93">
        <f t="shared" si="136"/>
        <v>12998272.32</v>
      </c>
      <c r="T409" s="21" t="s">
        <v>112</v>
      </c>
      <c r="U409" s="21" t="s">
        <v>112</v>
      </c>
      <c r="V409" s="3"/>
    </row>
    <row r="410" spans="1:24" ht="18" customHeight="1" x14ac:dyDescent="0.25">
      <c r="A410" s="419" t="s">
        <v>72</v>
      </c>
      <c r="B410" s="420"/>
      <c r="C410" s="420"/>
      <c r="D410" s="420"/>
      <c r="E410" s="421"/>
      <c r="F410" s="420"/>
      <c r="G410" s="420"/>
      <c r="H410" s="420"/>
      <c r="I410" s="420"/>
      <c r="J410" s="420"/>
      <c r="K410" s="420"/>
      <c r="L410" s="420"/>
      <c r="M410" s="420"/>
      <c r="N410" s="420"/>
      <c r="O410" s="420"/>
      <c r="P410" s="420"/>
      <c r="Q410" s="420"/>
      <c r="R410" s="420"/>
      <c r="S410" s="422"/>
      <c r="T410" s="35"/>
      <c r="U410" s="35"/>
      <c r="V410" s="35"/>
    </row>
    <row r="411" spans="1:24" s="23" customFormat="1" ht="18" customHeight="1" x14ac:dyDescent="0.25">
      <c r="A411" s="46">
        <f>A408+1</f>
        <v>366</v>
      </c>
      <c r="B411" s="345" t="s">
        <v>616</v>
      </c>
      <c r="C411" s="119" t="s">
        <v>75</v>
      </c>
      <c r="D411" s="369"/>
      <c r="E411" s="369"/>
      <c r="F411" s="224">
        <v>1298.0999999999999</v>
      </c>
      <c r="G411" s="224">
        <f>1054.5</f>
        <v>1054.5</v>
      </c>
      <c r="H411" s="49">
        <f>I411+J411+K411+L411+M411+N411+O411</f>
        <v>724652.4</v>
      </c>
      <c r="I411" s="69">
        <f>ROUND(687.2*G411,2)</f>
        <v>724652.4</v>
      </c>
      <c r="J411" s="69">
        <v>0</v>
      </c>
      <c r="K411" s="69">
        <v>0</v>
      </c>
      <c r="L411" s="69">
        <v>0</v>
      </c>
      <c r="M411" s="69">
        <v>0</v>
      </c>
      <c r="N411" s="69">
        <v>0</v>
      </c>
      <c r="O411" s="69">
        <v>0</v>
      </c>
      <c r="P411" s="69">
        <v>0</v>
      </c>
      <c r="Q411" s="69">
        <v>0</v>
      </c>
      <c r="R411" s="69">
        <v>0</v>
      </c>
      <c r="S411" s="94">
        <f>H411</f>
        <v>724652.4</v>
      </c>
      <c r="T411" s="374">
        <v>2016</v>
      </c>
      <c r="U411" s="374">
        <v>2017</v>
      </c>
      <c r="V411" s="381">
        <v>1</v>
      </c>
      <c r="W411" s="50" t="s">
        <v>142</v>
      </c>
      <c r="X411" s="242" t="s">
        <v>461</v>
      </c>
    </row>
    <row r="412" spans="1:24" s="23" customFormat="1" ht="18" customHeight="1" x14ac:dyDescent="0.3">
      <c r="A412" s="46">
        <f>A411+1</f>
        <v>367</v>
      </c>
      <c r="B412" s="345" t="s">
        <v>617</v>
      </c>
      <c r="C412" s="119" t="s">
        <v>56</v>
      </c>
      <c r="D412" s="369"/>
      <c r="E412" s="369"/>
      <c r="F412" s="224">
        <v>603.1</v>
      </c>
      <c r="G412" s="224">
        <v>541</v>
      </c>
      <c r="H412" s="49">
        <f t="shared" ref="H412" si="137">I412+J412+K412+L412+M412+N412+O412</f>
        <v>354327.95</v>
      </c>
      <c r="I412" s="69">
        <f>ROUND(654.95*G412,2)</f>
        <v>354327.95</v>
      </c>
      <c r="J412" s="69">
        <v>0</v>
      </c>
      <c r="K412" s="69">
        <v>0</v>
      </c>
      <c r="L412" s="69">
        <v>0</v>
      </c>
      <c r="M412" s="69">
        <v>0</v>
      </c>
      <c r="N412" s="69">
        <v>0</v>
      </c>
      <c r="O412" s="69">
        <v>0</v>
      </c>
      <c r="P412" s="69">
        <v>0</v>
      </c>
      <c r="Q412" s="69">
        <v>0</v>
      </c>
      <c r="R412" s="69">
        <v>0</v>
      </c>
      <c r="S412" s="94">
        <f t="shared" ref="S412:S413" si="138">H412</f>
        <v>354327.95</v>
      </c>
      <c r="T412" s="374">
        <v>2016</v>
      </c>
      <c r="U412" s="374">
        <v>2017</v>
      </c>
      <c r="V412" s="381">
        <f>V411+1</f>
        <v>2</v>
      </c>
      <c r="W412" s="145"/>
      <c r="X412" s="144"/>
    </row>
    <row r="413" spans="1:24" s="111" customFormat="1" ht="18" customHeight="1" x14ac:dyDescent="0.25">
      <c r="A413" s="46">
        <f t="shared" ref="A413:A422" si="139">A412+1</f>
        <v>368</v>
      </c>
      <c r="B413" s="345" t="s">
        <v>598</v>
      </c>
      <c r="C413" s="119" t="s">
        <v>75</v>
      </c>
      <c r="D413" s="242"/>
      <c r="E413" s="242"/>
      <c r="F413" s="224">
        <v>2618.1999999999998</v>
      </c>
      <c r="G413" s="224">
        <v>2206.6</v>
      </c>
      <c r="H413" s="305">
        <f>I413+J413+K413+L413+M413+N413+O413</f>
        <v>3806164.34</v>
      </c>
      <c r="I413" s="69">
        <v>0</v>
      </c>
      <c r="J413" s="69">
        <v>0</v>
      </c>
      <c r="K413" s="69">
        <f>ROUND(1724.9*G413,2)</f>
        <v>3806164.34</v>
      </c>
      <c r="L413" s="69">
        <v>0</v>
      </c>
      <c r="M413" s="69">
        <v>0</v>
      </c>
      <c r="N413" s="69">
        <v>0</v>
      </c>
      <c r="O413" s="69">
        <v>0</v>
      </c>
      <c r="P413" s="69">
        <v>0</v>
      </c>
      <c r="Q413" s="69">
        <v>0</v>
      </c>
      <c r="R413" s="69">
        <v>0</v>
      </c>
      <c r="S413" s="305">
        <f t="shared" si="138"/>
        <v>3806164.34</v>
      </c>
      <c r="T413" s="374">
        <v>2016</v>
      </c>
      <c r="U413" s="374">
        <v>2017</v>
      </c>
      <c r="V413" s="381">
        <f>V412+1</f>
        <v>3</v>
      </c>
    </row>
    <row r="414" spans="1:24" s="23" customFormat="1" ht="18" customHeight="1" x14ac:dyDescent="0.3">
      <c r="A414" s="46">
        <f t="shared" si="139"/>
        <v>369</v>
      </c>
      <c r="B414" s="47" t="s">
        <v>275</v>
      </c>
      <c r="C414" s="374">
        <v>1984</v>
      </c>
      <c r="D414" s="374"/>
      <c r="E414" s="374"/>
      <c r="F414" s="32">
        <v>4009.1</v>
      </c>
      <c r="G414" s="32">
        <v>3512.1</v>
      </c>
      <c r="H414" s="49">
        <f t="shared" ref="H414:H422" si="140">I414+J414+K414+L414+M414+N414+O414</f>
        <v>3766551.65</v>
      </c>
      <c r="I414" s="69">
        <v>0</v>
      </c>
      <c r="J414" s="69">
        <v>0</v>
      </c>
      <c r="K414" s="69">
        <f>ROUND(1072.45*G414,2)-O414</f>
        <v>3667914.27</v>
      </c>
      <c r="L414" s="69">
        <v>0</v>
      </c>
      <c r="M414" s="69">
        <v>0</v>
      </c>
      <c r="N414" s="69">
        <v>0</v>
      </c>
      <c r="O414" s="69">
        <v>98637.38</v>
      </c>
      <c r="P414" s="69">
        <v>0</v>
      </c>
      <c r="Q414" s="69">
        <v>0</v>
      </c>
      <c r="R414" s="69">
        <v>0</v>
      </c>
      <c r="S414" s="94">
        <f t="shared" ref="S414:S422" si="141">H414</f>
        <v>3766551.65</v>
      </c>
      <c r="T414" s="374">
        <v>2017</v>
      </c>
      <c r="U414" s="374">
        <v>2017</v>
      </c>
      <c r="V414" s="374">
        <v>1</v>
      </c>
      <c r="W414" s="145" t="s">
        <v>141</v>
      </c>
      <c r="X414" s="144">
        <v>5</v>
      </c>
    </row>
    <row r="415" spans="1:24" s="23" customFormat="1" ht="18" customHeight="1" x14ac:dyDescent="0.3">
      <c r="A415" s="46">
        <f t="shared" si="139"/>
        <v>370</v>
      </c>
      <c r="B415" s="47" t="s">
        <v>276</v>
      </c>
      <c r="C415" s="241">
        <v>1960</v>
      </c>
      <c r="D415" s="241"/>
      <c r="E415" s="241"/>
      <c r="F415" s="168">
        <v>2536.1999999999998</v>
      </c>
      <c r="G415" s="168">
        <v>2009.4</v>
      </c>
      <c r="H415" s="49">
        <f t="shared" si="140"/>
        <v>3667034.44</v>
      </c>
      <c r="I415" s="69">
        <v>0</v>
      </c>
      <c r="J415" s="69">
        <v>0</v>
      </c>
      <c r="K415" s="69">
        <f>ROUND(1824.94*G415,2)-O415</f>
        <v>3565930.86</v>
      </c>
      <c r="L415" s="69">
        <v>0</v>
      </c>
      <c r="M415" s="69">
        <v>0</v>
      </c>
      <c r="N415" s="69">
        <v>0</v>
      </c>
      <c r="O415" s="69">
        <v>101103.58</v>
      </c>
      <c r="P415" s="69">
        <v>0</v>
      </c>
      <c r="Q415" s="69">
        <v>0</v>
      </c>
      <c r="R415" s="69">
        <v>0</v>
      </c>
      <c r="S415" s="94">
        <f t="shared" si="141"/>
        <v>3667034.44</v>
      </c>
      <c r="T415" s="374">
        <v>2017</v>
      </c>
      <c r="U415" s="374">
        <v>2017</v>
      </c>
      <c r="V415" s="374">
        <f>V414+1</f>
        <v>2</v>
      </c>
      <c r="W415" s="145" t="s">
        <v>142</v>
      </c>
      <c r="X415" s="144">
        <v>3</v>
      </c>
    </row>
    <row r="416" spans="1:24" s="23" customFormat="1" ht="18" customHeight="1" x14ac:dyDescent="0.3">
      <c r="A416" s="46">
        <f t="shared" si="139"/>
        <v>371</v>
      </c>
      <c r="B416" s="47" t="s">
        <v>277</v>
      </c>
      <c r="C416" s="241">
        <v>1954</v>
      </c>
      <c r="D416" s="241"/>
      <c r="E416" s="241"/>
      <c r="F416" s="311">
        <v>2497.5</v>
      </c>
      <c r="G416" s="311">
        <v>2023.9</v>
      </c>
      <c r="H416" s="49">
        <f t="shared" si="140"/>
        <v>6010375.8300000001</v>
      </c>
      <c r="I416" s="69">
        <v>0</v>
      </c>
      <c r="J416" s="69">
        <v>0</v>
      </c>
      <c r="K416" s="69">
        <f>ROUND(1824.94*G416,2)-129240.56</f>
        <v>3564255.51</v>
      </c>
      <c r="L416" s="69">
        <v>0</v>
      </c>
      <c r="M416" s="69">
        <f>ROUND(1144.76*G416,2)-81070.84</f>
        <v>2235808.92</v>
      </c>
      <c r="N416" s="69">
        <v>0</v>
      </c>
      <c r="O416" s="69">
        <v>210311.4</v>
      </c>
      <c r="P416" s="69">
        <v>0</v>
      </c>
      <c r="Q416" s="69">
        <v>0</v>
      </c>
      <c r="R416" s="69">
        <v>0</v>
      </c>
      <c r="S416" s="94">
        <f t="shared" si="141"/>
        <v>6010375.8300000001</v>
      </c>
      <c r="T416" s="374">
        <v>2017</v>
      </c>
      <c r="U416" s="374">
        <v>2017</v>
      </c>
      <c r="V416" s="374">
        <f t="shared" ref="V416:V422" si="142">V415+1</f>
        <v>3</v>
      </c>
      <c r="W416" s="145" t="s">
        <v>142</v>
      </c>
      <c r="X416" s="144">
        <v>3</v>
      </c>
    </row>
    <row r="417" spans="1:25" s="23" customFormat="1" ht="18" customHeight="1" x14ac:dyDescent="0.25">
      <c r="A417" s="46">
        <f t="shared" si="139"/>
        <v>372</v>
      </c>
      <c r="B417" s="400" t="s">
        <v>475</v>
      </c>
      <c r="C417" s="308" t="s">
        <v>460</v>
      </c>
      <c r="D417" s="308"/>
      <c r="E417" s="308"/>
      <c r="F417" s="310">
        <v>2056.5</v>
      </c>
      <c r="G417" s="310">
        <v>1513.9</v>
      </c>
      <c r="H417" s="49">
        <f t="shared" si="140"/>
        <v>1733052.16</v>
      </c>
      <c r="I417" s="69">
        <v>0</v>
      </c>
      <c r="J417" s="69">
        <v>0</v>
      </c>
      <c r="K417" s="69">
        <v>0</v>
      </c>
      <c r="L417" s="69">
        <v>0</v>
      </c>
      <c r="M417" s="69">
        <f>ROUND(1144.76*G417,2)-O417</f>
        <v>1630462.96</v>
      </c>
      <c r="N417" s="170">
        <v>0</v>
      </c>
      <c r="O417" s="305">
        <v>102589.2</v>
      </c>
      <c r="P417" s="305"/>
      <c r="Q417" s="305"/>
      <c r="R417" s="305"/>
      <c r="S417" s="94">
        <f t="shared" si="141"/>
        <v>1733052.16</v>
      </c>
      <c r="T417" s="374">
        <v>2016</v>
      </c>
      <c r="U417" s="374">
        <v>2017</v>
      </c>
      <c r="V417" s="374">
        <f t="shared" si="142"/>
        <v>4</v>
      </c>
      <c r="W417" s="50" t="s">
        <v>142</v>
      </c>
      <c r="X417" s="242" t="s">
        <v>461</v>
      </c>
    </row>
    <row r="418" spans="1:25" s="23" customFormat="1" ht="18" customHeight="1" x14ac:dyDescent="0.3">
      <c r="A418" s="46">
        <f t="shared" si="139"/>
        <v>373</v>
      </c>
      <c r="B418" s="47" t="s">
        <v>274</v>
      </c>
      <c r="C418" s="46">
        <v>1971</v>
      </c>
      <c r="D418" s="308"/>
      <c r="E418" s="308"/>
      <c r="F418" s="168">
        <v>4274</v>
      </c>
      <c r="G418" s="168">
        <v>3283.8</v>
      </c>
      <c r="H418" s="49">
        <f t="shared" si="140"/>
        <v>3468185.37</v>
      </c>
      <c r="I418" s="69">
        <v>0</v>
      </c>
      <c r="J418" s="69">
        <v>0</v>
      </c>
      <c r="K418" s="69">
        <f>ROUND(1056.15*G418,2)-O418</f>
        <v>3373058.49</v>
      </c>
      <c r="L418" s="69">
        <v>0</v>
      </c>
      <c r="M418" s="69">
        <v>0</v>
      </c>
      <c r="N418" s="69">
        <v>0</v>
      </c>
      <c r="O418" s="69">
        <v>95126.88</v>
      </c>
      <c r="P418" s="69">
        <v>0</v>
      </c>
      <c r="Q418" s="69">
        <v>0</v>
      </c>
      <c r="R418" s="69">
        <v>0</v>
      </c>
      <c r="S418" s="94">
        <f t="shared" si="141"/>
        <v>3468185.37</v>
      </c>
      <c r="T418" s="374">
        <v>2017</v>
      </c>
      <c r="U418" s="374">
        <v>2017</v>
      </c>
      <c r="V418" s="374">
        <f t="shared" si="142"/>
        <v>5</v>
      </c>
      <c r="W418" s="145" t="s">
        <v>142</v>
      </c>
      <c r="X418" s="144">
        <v>5</v>
      </c>
    </row>
    <row r="419" spans="1:25" s="23" customFormat="1" ht="18" customHeight="1" x14ac:dyDescent="0.3">
      <c r="A419" s="46">
        <f t="shared" si="139"/>
        <v>374</v>
      </c>
      <c r="B419" s="47" t="s">
        <v>440</v>
      </c>
      <c r="C419" s="309">
        <v>1937</v>
      </c>
      <c r="D419" s="119"/>
      <c r="E419" s="119"/>
      <c r="F419" s="126">
        <v>2303.5</v>
      </c>
      <c r="G419" s="126">
        <v>2079.5</v>
      </c>
      <c r="H419" s="49">
        <f t="shared" si="140"/>
        <v>8291195.25</v>
      </c>
      <c r="I419" s="69">
        <f>ROUND((290.35+727.06)*G419,2)-86764.97</f>
        <v>2028939.1300000001</v>
      </c>
      <c r="J419" s="69">
        <v>0</v>
      </c>
      <c r="K419" s="69">
        <f>ROUND(1824.94*G419,2)-155631.33</f>
        <v>3639331.4</v>
      </c>
      <c r="L419" s="69">
        <v>0</v>
      </c>
      <c r="M419" s="69">
        <f>ROUND(1144.76*G419,2)-97625.41</f>
        <v>2282903.0099999998</v>
      </c>
      <c r="N419" s="69">
        <v>0</v>
      </c>
      <c r="O419" s="69">
        <v>340021.71</v>
      </c>
      <c r="P419" s="69">
        <v>0</v>
      </c>
      <c r="Q419" s="69">
        <v>0</v>
      </c>
      <c r="R419" s="69">
        <v>0</v>
      </c>
      <c r="S419" s="94">
        <f t="shared" si="141"/>
        <v>8291195.25</v>
      </c>
      <c r="T419" s="374">
        <v>2017</v>
      </c>
      <c r="U419" s="374">
        <v>2017</v>
      </c>
      <c r="V419" s="374">
        <f t="shared" si="142"/>
        <v>6</v>
      </c>
      <c r="W419" s="145" t="s">
        <v>142</v>
      </c>
      <c r="X419" s="144">
        <v>4</v>
      </c>
    </row>
    <row r="420" spans="1:25" s="23" customFormat="1" ht="18" customHeight="1" x14ac:dyDescent="0.3">
      <c r="A420" s="46">
        <f t="shared" si="139"/>
        <v>375</v>
      </c>
      <c r="B420" s="220" t="s">
        <v>273</v>
      </c>
      <c r="C420" s="176">
        <v>1951</v>
      </c>
      <c r="D420" s="46"/>
      <c r="E420" s="176"/>
      <c r="F420" s="292">
        <v>560.79999999999995</v>
      </c>
      <c r="G420" s="292">
        <v>516.6</v>
      </c>
      <c r="H420" s="49">
        <f t="shared" si="140"/>
        <v>2175733.2200000002</v>
      </c>
      <c r="I420" s="69">
        <v>0</v>
      </c>
      <c r="J420" s="69">
        <v>0</v>
      </c>
      <c r="K420" s="69">
        <f>ROUND(4211.64*G420,2)-71682.64</f>
        <v>2104050.58</v>
      </c>
      <c r="L420" s="69">
        <v>0</v>
      </c>
      <c r="M420" s="69">
        <v>0</v>
      </c>
      <c r="N420" s="69">
        <v>0</v>
      </c>
      <c r="O420" s="69">
        <v>71682.64</v>
      </c>
      <c r="P420" s="69">
        <v>0</v>
      </c>
      <c r="Q420" s="69">
        <v>0</v>
      </c>
      <c r="R420" s="69">
        <v>0</v>
      </c>
      <c r="S420" s="94">
        <f t="shared" si="141"/>
        <v>2175733.2200000002</v>
      </c>
      <c r="T420" s="374">
        <v>2017</v>
      </c>
      <c r="U420" s="374">
        <v>2017</v>
      </c>
      <c r="V420" s="374">
        <f t="shared" si="142"/>
        <v>7</v>
      </c>
      <c r="W420" s="313" t="s">
        <v>142</v>
      </c>
      <c r="X420" s="314">
        <v>2</v>
      </c>
    </row>
    <row r="421" spans="1:25" s="23" customFormat="1" ht="18" customHeight="1" x14ac:dyDescent="0.3">
      <c r="A421" s="46">
        <f t="shared" si="139"/>
        <v>376</v>
      </c>
      <c r="B421" s="345" t="s">
        <v>502</v>
      </c>
      <c r="C421" s="119">
        <v>1973</v>
      </c>
      <c r="D421" s="243"/>
      <c r="E421" s="243"/>
      <c r="F421" s="224">
        <v>991.3</v>
      </c>
      <c r="G421" s="224">
        <v>897.9</v>
      </c>
      <c r="H421" s="169">
        <f t="shared" si="140"/>
        <v>948317.09</v>
      </c>
      <c r="I421" s="69">
        <v>0</v>
      </c>
      <c r="J421" s="69">
        <v>0</v>
      </c>
      <c r="K421" s="403">
        <f>ROUND(1056.15*G421,2)-O421</f>
        <v>891418.05999999994</v>
      </c>
      <c r="L421" s="170">
        <v>0</v>
      </c>
      <c r="M421" s="170">
        <v>0</v>
      </c>
      <c r="N421" s="170">
        <v>0</v>
      </c>
      <c r="O421" s="169">
        <v>56899.03</v>
      </c>
      <c r="P421" s="169"/>
      <c r="Q421" s="169"/>
      <c r="R421" s="169"/>
      <c r="S421" s="94">
        <f t="shared" si="141"/>
        <v>948317.09</v>
      </c>
      <c r="T421" s="374">
        <v>2016</v>
      </c>
      <c r="U421" s="374">
        <v>2017</v>
      </c>
      <c r="V421" s="374">
        <f t="shared" si="142"/>
        <v>8</v>
      </c>
      <c r="W421" s="50" t="s">
        <v>142</v>
      </c>
      <c r="X421" s="244">
        <v>2</v>
      </c>
      <c r="Y421" s="375" t="s">
        <v>152</v>
      </c>
    </row>
    <row r="422" spans="1:25" s="23" customFormat="1" ht="18" customHeight="1" x14ac:dyDescent="0.3">
      <c r="A422" s="46">
        <f t="shared" si="139"/>
        <v>377</v>
      </c>
      <c r="B422" s="65" t="s">
        <v>503</v>
      </c>
      <c r="C422" s="119">
        <v>1976</v>
      </c>
      <c r="D422" s="119"/>
      <c r="E422" s="119"/>
      <c r="F422" s="126">
        <v>4138.8999999999996</v>
      </c>
      <c r="G422" s="126">
        <v>3605.3</v>
      </c>
      <c r="H422" s="169">
        <f t="shared" si="140"/>
        <v>5110080.1100000003</v>
      </c>
      <c r="I422" s="69">
        <f>ROUND((690.32+727.06)*G422,2)-O422</f>
        <v>4878421.33</v>
      </c>
      <c r="J422" s="69">
        <v>0</v>
      </c>
      <c r="K422" s="69">
        <v>0</v>
      </c>
      <c r="L422" s="170">
        <v>0</v>
      </c>
      <c r="M422" s="170">
        <v>0</v>
      </c>
      <c r="N422" s="170">
        <v>0</v>
      </c>
      <c r="O422" s="170">
        <v>231658.78</v>
      </c>
      <c r="P422" s="170">
        <v>0</v>
      </c>
      <c r="Q422" s="170">
        <v>0</v>
      </c>
      <c r="R422" s="170">
        <v>0</v>
      </c>
      <c r="S422" s="94">
        <f t="shared" si="141"/>
        <v>5110080.1100000003</v>
      </c>
      <c r="T422" s="374">
        <v>2017</v>
      </c>
      <c r="U422" s="374">
        <v>2017</v>
      </c>
      <c r="V422" s="374">
        <f t="shared" si="142"/>
        <v>9</v>
      </c>
      <c r="W422" s="145" t="s">
        <v>142</v>
      </c>
      <c r="X422" s="144">
        <v>5</v>
      </c>
      <c r="Y422" s="111"/>
    </row>
    <row r="423" spans="1:25" ht="18" customHeight="1" x14ac:dyDescent="0.25">
      <c r="A423" s="417" t="s">
        <v>257</v>
      </c>
      <c r="B423" s="423"/>
      <c r="C423" s="245"/>
      <c r="D423" s="46"/>
      <c r="E423" s="176"/>
      <c r="F423" s="64">
        <f>SUM(F411:F422)</f>
        <v>27887.199999999997</v>
      </c>
      <c r="G423" s="64">
        <f t="shared" ref="G423:H423" si="143">SUM(G411:G422)</f>
        <v>23244.5</v>
      </c>
      <c r="H423" s="45">
        <f t="shared" si="143"/>
        <v>40055669.810000002</v>
      </c>
      <c r="I423" s="45">
        <f t="shared" ref="I423" si="144">SUM(I411:I422)</f>
        <v>7986340.8100000005</v>
      </c>
      <c r="J423" s="45">
        <f t="shared" ref="J423" si="145">SUM(J411:J422)</f>
        <v>0</v>
      </c>
      <c r="K423" s="45">
        <f t="shared" ref="K423" si="146">SUM(K411:K422)</f>
        <v>24612123.509999994</v>
      </c>
      <c r="L423" s="45">
        <f t="shared" ref="L423" si="147">SUM(L411:L422)</f>
        <v>0</v>
      </c>
      <c r="M423" s="45">
        <f t="shared" ref="M423" si="148">SUM(M411:M422)</f>
        <v>6149174.8899999997</v>
      </c>
      <c r="N423" s="45">
        <f t="shared" ref="N423" si="149">SUM(N411:N422)</f>
        <v>0</v>
      </c>
      <c r="O423" s="45">
        <f t="shared" ref="O423" si="150">SUM(O411:O422)</f>
        <v>1308030.5999999999</v>
      </c>
      <c r="P423" s="45">
        <f t="shared" ref="P423" si="151">SUM(P411:P422)</f>
        <v>0</v>
      </c>
      <c r="Q423" s="45">
        <f t="shared" ref="Q423" si="152">SUM(Q411:Q422)</f>
        <v>0</v>
      </c>
      <c r="R423" s="45">
        <f t="shared" ref="R423" si="153">SUM(R411:R422)</f>
        <v>0</v>
      </c>
      <c r="S423" s="45">
        <f t="shared" ref="S423" si="154">SUM(S411:S422)</f>
        <v>40055669.810000002</v>
      </c>
      <c r="T423" s="21" t="s">
        <v>112</v>
      </c>
      <c r="U423" s="21" t="s">
        <v>112</v>
      </c>
      <c r="V423" s="3"/>
    </row>
    <row r="424" spans="1:25" ht="18" customHeight="1" x14ac:dyDescent="0.25">
      <c r="A424" s="417" t="s">
        <v>261</v>
      </c>
      <c r="B424" s="418"/>
      <c r="C424" s="118"/>
      <c r="D424" s="180"/>
      <c r="E424" s="180"/>
      <c r="F424" s="64">
        <f t="shared" ref="F424:S424" si="155">F423+F409+F401</f>
        <v>41188.199999999997</v>
      </c>
      <c r="G424" s="64">
        <f t="shared" si="155"/>
        <v>34615.53</v>
      </c>
      <c r="H424" s="45">
        <f t="shared" si="155"/>
        <v>57829566.380000003</v>
      </c>
      <c r="I424" s="45">
        <f t="shared" si="155"/>
        <v>8047447.7300000004</v>
      </c>
      <c r="J424" s="45">
        <f t="shared" si="155"/>
        <v>0</v>
      </c>
      <c r="K424" s="45">
        <f t="shared" si="155"/>
        <v>40787572.75999999</v>
      </c>
      <c r="L424" s="45">
        <f t="shared" si="155"/>
        <v>0</v>
      </c>
      <c r="M424" s="45">
        <f t="shared" si="155"/>
        <v>7189238.8899999997</v>
      </c>
      <c r="N424" s="45">
        <f t="shared" si="155"/>
        <v>0</v>
      </c>
      <c r="O424" s="45">
        <f t="shared" si="155"/>
        <v>1805307</v>
      </c>
      <c r="P424" s="45">
        <f t="shared" si="155"/>
        <v>0</v>
      </c>
      <c r="Q424" s="45">
        <f t="shared" si="155"/>
        <v>0</v>
      </c>
      <c r="R424" s="45">
        <f t="shared" si="155"/>
        <v>0</v>
      </c>
      <c r="S424" s="45">
        <f t="shared" si="155"/>
        <v>57829566.380000003</v>
      </c>
      <c r="T424" s="21" t="s">
        <v>112</v>
      </c>
      <c r="U424" s="21" t="s">
        <v>112</v>
      </c>
      <c r="V424" s="3"/>
    </row>
    <row r="425" spans="1:25" ht="18" customHeight="1" x14ac:dyDescent="0.25">
      <c r="A425" s="419" t="s">
        <v>76</v>
      </c>
      <c r="B425" s="420"/>
      <c r="C425" s="420"/>
      <c r="D425" s="420"/>
      <c r="E425" s="421"/>
      <c r="F425" s="420"/>
      <c r="G425" s="420"/>
      <c r="H425" s="420"/>
      <c r="I425" s="420"/>
      <c r="J425" s="420"/>
      <c r="K425" s="420"/>
      <c r="L425" s="420"/>
      <c r="M425" s="420"/>
      <c r="N425" s="420"/>
      <c r="O425" s="420"/>
      <c r="P425" s="420"/>
      <c r="Q425" s="420"/>
      <c r="R425" s="420"/>
      <c r="S425" s="422"/>
      <c r="T425" s="22"/>
      <c r="U425" s="22"/>
      <c r="V425" s="22"/>
    </row>
    <row r="426" spans="1:25" ht="18" customHeight="1" x14ac:dyDescent="0.25">
      <c r="A426" s="419" t="s">
        <v>108</v>
      </c>
      <c r="B426" s="420"/>
      <c r="C426" s="420"/>
      <c r="D426" s="420"/>
      <c r="E426" s="421"/>
      <c r="F426" s="420"/>
      <c r="G426" s="420"/>
      <c r="H426" s="420"/>
      <c r="I426" s="420"/>
      <c r="J426" s="420"/>
      <c r="K426" s="420"/>
      <c r="L426" s="420"/>
      <c r="M426" s="420"/>
      <c r="N426" s="420"/>
      <c r="O426" s="420"/>
      <c r="P426" s="420"/>
      <c r="Q426" s="420"/>
      <c r="R426" s="420"/>
      <c r="S426" s="422"/>
      <c r="T426" s="22"/>
      <c r="U426" s="22"/>
      <c r="V426" s="22"/>
    </row>
    <row r="427" spans="1:25" ht="18" customHeight="1" x14ac:dyDescent="0.25">
      <c r="A427" s="54">
        <f>A422+1</f>
        <v>378</v>
      </c>
      <c r="B427" s="246" t="s">
        <v>278</v>
      </c>
      <c r="C427" s="247">
        <v>1972</v>
      </c>
      <c r="D427" s="248"/>
      <c r="E427" s="249"/>
      <c r="F427" s="250">
        <v>4990.3999999999996</v>
      </c>
      <c r="G427" s="250">
        <v>4554.3999999999996</v>
      </c>
      <c r="H427" s="49">
        <f>I427+J427+K427+L427+M427+N427+O427</f>
        <v>4810129.5599999996</v>
      </c>
      <c r="I427" s="69">
        <v>0</v>
      </c>
      <c r="J427" s="69">
        <v>0</v>
      </c>
      <c r="K427" s="251">
        <f>ROUND(1056.15*G427,2)-O427</f>
        <v>4688256.8</v>
      </c>
      <c r="L427" s="69">
        <v>0</v>
      </c>
      <c r="M427" s="69">
        <v>0</v>
      </c>
      <c r="N427" s="69">
        <v>0</v>
      </c>
      <c r="O427" s="69">
        <v>121872.76</v>
      </c>
      <c r="P427" s="69">
        <v>0</v>
      </c>
      <c r="Q427" s="69">
        <v>0</v>
      </c>
      <c r="R427" s="69">
        <v>0</v>
      </c>
      <c r="S427" s="94">
        <f>H427</f>
        <v>4810129.5599999996</v>
      </c>
      <c r="T427" s="374">
        <v>2017</v>
      </c>
      <c r="U427" s="374">
        <v>2017</v>
      </c>
      <c r="V427" s="374">
        <v>1</v>
      </c>
      <c r="W427" s="246" t="s">
        <v>279</v>
      </c>
      <c r="X427" s="247">
        <v>5</v>
      </c>
    </row>
    <row r="428" spans="1:25" ht="18" customHeight="1" x14ac:dyDescent="0.25">
      <c r="A428" s="417" t="s">
        <v>257</v>
      </c>
      <c r="B428" s="423"/>
      <c r="C428" s="52"/>
      <c r="D428" s="52"/>
      <c r="E428" s="192"/>
      <c r="F428" s="53">
        <f t="shared" ref="F428:O428" si="156">F427</f>
        <v>4990.3999999999996</v>
      </c>
      <c r="G428" s="53">
        <f t="shared" si="156"/>
        <v>4554.3999999999996</v>
      </c>
      <c r="H428" s="51">
        <f t="shared" si="156"/>
        <v>4810129.5599999996</v>
      </c>
      <c r="I428" s="45">
        <f t="shared" si="156"/>
        <v>0</v>
      </c>
      <c r="J428" s="45">
        <f t="shared" si="156"/>
        <v>0</v>
      </c>
      <c r="K428" s="45">
        <f t="shared" si="156"/>
        <v>4688256.8</v>
      </c>
      <c r="L428" s="45">
        <f t="shared" si="156"/>
        <v>0</v>
      </c>
      <c r="M428" s="45">
        <f t="shared" si="156"/>
        <v>0</v>
      </c>
      <c r="N428" s="45">
        <f t="shared" si="156"/>
        <v>0</v>
      </c>
      <c r="O428" s="45">
        <f t="shared" si="156"/>
        <v>121872.76</v>
      </c>
      <c r="P428" s="45">
        <f>P427</f>
        <v>0</v>
      </c>
      <c r="Q428" s="45">
        <f>Q427</f>
        <v>0</v>
      </c>
      <c r="R428" s="45">
        <f>R427</f>
        <v>0</v>
      </c>
      <c r="S428" s="93">
        <f>S427</f>
        <v>4810129.5599999996</v>
      </c>
      <c r="T428" s="21" t="s">
        <v>112</v>
      </c>
      <c r="U428" s="21" t="s">
        <v>112</v>
      </c>
      <c r="V428" s="3"/>
    </row>
    <row r="429" spans="1:25" ht="18" customHeight="1" x14ac:dyDescent="0.25">
      <c r="A429" s="419" t="s">
        <v>77</v>
      </c>
      <c r="B429" s="420"/>
      <c r="C429" s="420"/>
      <c r="D429" s="420"/>
      <c r="E429" s="421"/>
      <c r="F429" s="420"/>
      <c r="G429" s="420"/>
      <c r="H429" s="420"/>
      <c r="I429" s="420"/>
      <c r="J429" s="420"/>
      <c r="K429" s="420"/>
      <c r="L429" s="420"/>
      <c r="M429" s="420"/>
      <c r="N429" s="420"/>
      <c r="O429" s="420"/>
      <c r="P429" s="420"/>
      <c r="Q429" s="420"/>
      <c r="R429" s="420"/>
      <c r="S429" s="422"/>
      <c r="T429" s="22"/>
      <c r="U429" s="22"/>
      <c r="V429" s="22"/>
    </row>
    <row r="430" spans="1:25" s="23" customFormat="1" ht="18" customHeight="1" x14ac:dyDescent="0.25">
      <c r="A430" s="46">
        <f>A427+1</f>
        <v>379</v>
      </c>
      <c r="B430" s="47" t="s">
        <v>365</v>
      </c>
      <c r="C430" s="46">
        <v>1962</v>
      </c>
      <c r="D430" s="46"/>
      <c r="E430" s="176"/>
      <c r="F430" s="61">
        <v>3803</v>
      </c>
      <c r="G430" s="31">
        <v>3734.4</v>
      </c>
      <c r="H430" s="49">
        <f>I430+J430+K430+L430+M430+N430+O430</f>
        <v>6815055.9400000004</v>
      </c>
      <c r="I430" s="48">
        <v>0</v>
      </c>
      <c r="J430" s="48">
        <v>0</v>
      </c>
      <c r="K430" s="69">
        <f>ROUND(1824.94*G430,2)-O430</f>
        <v>6691207.8600000003</v>
      </c>
      <c r="L430" s="48">
        <v>0</v>
      </c>
      <c r="M430" s="48">
        <v>0</v>
      </c>
      <c r="N430" s="48">
        <v>0</v>
      </c>
      <c r="O430" s="48">
        <v>123848.08</v>
      </c>
      <c r="P430" s="48">
        <v>0</v>
      </c>
      <c r="Q430" s="48">
        <v>0</v>
      </c>
      <c r="R430" s="48">
        <v>0</v>
      </c>
      <c r="S430" s="94">
        <f>H430</f>
        <v>6815055.9400000004</v>
      </c>
      <c r="T430" s="374">
        <v>2017</v>
      </c>
      <c r="U430" s="374">
        <v>2017</v>
      </c>
      <c r="V430" s="374">
        <v>1</v>
      </c>
      <c r="W430" s="246" t="s">
        <v>279</v>
      </c>
      <c r="X430" s="247">
        <v>4</v>
      </c>
    </row>
    <row r="431" spans="1:25" s="23" customFormat="1" ht="18" customHeight="1" x14ac:dyDescent="0.25">
      <c r="A431" s="46">
        <f>A430+1</f>
        <v>380</v>
      </c>
      <c r="B431" s="47" t="s">
        <v>366</v>
      </c>
      <c r="C431" s="46">
        <v>1967</v>
      </c>
      <c r="D431" s="46"/>
      <c r="E431" s="176"/>
      <c r="F431" s="61">
        <v>369</v>
      </c>
      <c r="G431" s="31">
        <v>321</v>
      </c>
      <c r="H431" s="49">
        <f>I431+J431+K431+L431+M431+N431+O431</f>
        <v>1351936.44</v>
      </c>
      <c r="I431" s="48">
        <v>0</v>
      </c>
      <c r="J431" s="48">
        <v>0</v>
      </c>
      <c r="K431" s="69">
        <f>ROUND(4211.64*G431,2)-O431</f>
        <v>1282769.56</v>
      </c>
      <c r="L431" s="48">
        <v>0</v>
      </c>
      <c r="M431" s="48">
        <v>0</v>
      </c>
      <c r="N431" s="48">
        <v>0</v>
      </c>
      <c r="O431" s="48">
        <v>69166.880000000005</v>
      </c>
      <c r="P431" s="48">
        <v>0</v>
      </c>
      <c r="Q431" s="48">
        <v>0</v>
      </c>
      <c r="R431" s="48">
        <v>0</v>
      </c>
      <c r="S431" s="94">
        <f>H431</f>
        <v>1351936.44</v>
      </c>
      <c r="T431" s="374">
        <v>2017</v>
      </c>
      <c r="U431" s="374">
        <v>2017</v>
      </c>
      <c r="V431" s="374">
        <f>V430+1</f>
        <v>2</v>
      </c>
      <c r="W431" s="246" t="s">
        <v>279</v>
      </c>
      <c r="X431" s="247">
        <v>2</v>
      </c>
    </row>
    <row r="432" spans="1:25" ht="18" customHeight="1" x14ac:dyDescent="0.25">
      <c r="A432" s="417" t="s">
        <v>257</v>
      </c>
      <c r="B432" s="423"/>
      <c r="C432" s="406"/>
      <c r="D432" s="46"/>
      <c r="E432" s="176"/>
      <c r="F432" s="64">
        <f t="shared" ref="F432:O432" si="157">SUM(F430:F431)</f>
        <v>4172</v>
      </c>
      <c r="G432" s="64">
        <f t="shared" si="157"/>
        <v>4055.4</v>
      </c>
      <c r="H432" s="51">
        <f t="shared" si="157"/>
        <v>8166992.3800000008</v>
      </c>
      <c r="I432" s="51">
        <f t="shared" si="157"/>
        <v>0</v>
      </c>
      <c r="J432" s="51">
        <f t="shared" si="157"/>
        <v>0</v>
      </c>
      <c r="K432" s="51">
        <f t="shared" si="157"/>
        <v>7973977.4199999999</v>
      </c>
      <c r="L432" s="51">
        <f t="shared" si="157"/>
        <v>0</v>
      </c>
      <c r="M432" s="51">
        <f t="shared" si="157"/>
        <v>0</v>
      </c>
      <c r="N432" s="51">
        <f t="shared" si="157"/>
        <v>0</v>
      </c>
      <c r="O432" s="51">
        <f t="shared" si="157"/>
        <v>193014.96000000002</v>
      </c>
      <c r="P432" s="51">
        <f>SUM(P430:P431)</f>
        <v>0</v>
      </c>
      <c r="Q432" s="51">
        <f>SUM(Q430:Q431)</f>
        <v>0</v>
      </c>
      <c r="R432" s="51">
        <f>SUM(R430:R431)</f>
        <v>0</v>
      </c>
      <c r="S432" s="93">
        <f>SUM(S430:S431)</f>
        <v>8166992.3800000008</v>
      </c>
      <c r="T432" s="21" t="s">
        <v>112</v>
      </c>
      <c r="U432" s="21" t="s">
        <v>112</v>
      </c>
      <c r="V432" s="3"/>
    </row>
    <row r="433" spans="1:24" ht="18" customHeight="1" x14ac:dyDescent="0.25">
      <c r="A433" s="419" t="s">
        <v>78</v>
      </c>
      <c r="B433" s="420"/>
      <c r="C433" s="420"/>
      <c r="D433" s="420"/>
      <c r="E433" s="421"/>
      <c r="F433" s="420"/>
      <c r="G433" s="420"/>
      <c r="H433" s="420"/>
      <c r="I433" s="420"/>
      <c r="J433" s="420"/>
      <c r="K433" s="420"/>
      <c r="L433" s="420"/>
      <c r="M433" s="420"/>
      <c r="N433" s="420"/>
      <c r="O433" s="420"/>
      <c r="P433" s="420"/>
      <c r="Q433" s="420"/>
      <c r="R433" s="420"/>
      <c r="S433" s="422"/>
      <c r="T433" s="22"/>
      <c r="U433" s="22"/>
      <c r="V433" s="22"/>
    </row>
    <row r="434" spans="1:24" s="23" customFormat="1" ht="18" customHeight="1" x14ac:dyDescent="0.25">
      <c r="A434" s="46">
        <f>A431+1</f>
        <v>381</v>
      </c>
      <c r="B434" s="47" t="s">
        <v>290</v>
      </c>
      <c r="C434" s="46">
        <v>1975</v>
      </c>
      <c r="D434" s="46"/>
      <c r="E434" s="46"/>
      <c r="F434" s="252">
        <v>2888.6</v>
      </c>
      <c r="G434" s="134">
        <v>2432.3000000000002</v>
      </c>
      <c r="H434" s="49">
        <f t="shared" ref="H434:H441" si="158">I434+J434+K434+L434+M434+N434+O434</f>
        <v>2568873.65</v>
      </c>
      <c r="I434" s="277">
        <v>0</v>
      </c>
      <c r="J434" s="48">
        <v>0</v>
      </c>
      <c r="K434" s="69">
        <f>ROUND(1056.15*G434,2)-O434</f>
        <v>2414741.23</v>
      </c>
      <c r="L434" s="48">
        <v>0</v>
      </c>
      <c r="M434" s="69">
        <v>0</v>
      </c>
      <c r="N434" s="48">
        <v>0</v>
      </c>
      <c r="O434" s="48">
        <v>154132.42000000001</v>
      </c>
      <c r="P434" s="48">
        <v>0</v>
      </c>
      <c r="Q434" s="48">
        <v>0</v>
      </c>
      <c r="R434" s="48">
        <v>0</v>
      </c>
      <c r="S434" s="94">
        <f t="shared" ref="S434:S441" si="159">H434</f>
        <v>2568873.65</v>
      </c>
      <c r="T434" s="374">
        <v>2017</v>
      </c>
      <c r="U434" s="374">
        <v>2017</v>
      </c>
      <c r="V434" s="374">
        <v>1</v>
      </c>
      <c r="W434" s="138" t="s">
        <v>142</v>
      </c>
      <c r="X434" s="138">
        <v>5</v>
      </c>
    </row>
    <row r="435" spans="1:24" s="23" customFormat="1" ht="18" customHeight="1" x14ac:dyDescent="0.25">
      <c r="A435" s="46">
        <f>A434+1</f>
        <v>382</v>
      </c>
      <c r="B435" s="47" t="s">
        <v>287</v>
      </c>
      <c r="C435" s="46">
        <v>1969</v>
      </c>
      <c r="D435" s="46"/>
      <c r="E435" s="46"/>
      <c r="F435" s="134">
        <v>4364.8</v>
      </c>
      <c r="G435" s="134">
        <v>4030.2</v>
      </c>
      <c r="H435" s="49">
        <f t="shared" si="158"/>
        <v>4613611.75</v>
      </c>
      <c r="I435" s="48">
        <v>0</v>
      </c>
      <c r="J435" s="48">
        <v>0</v>
      </c>
      <c r="K435" s="48">
        <v>0</v>
      </c>
      <c r="L435" s="48">
        <v>0</v>
      </c>
      <c r="M435" s="69">
        <f>ROUND(1144.76*G435,2)-O435</f>
        <v>4492740.8099999996</v>
      </c>
      <c r="N435" s="48">
        <v>0</v>
      </c>
      <c r="O435" s="48">
        <v>120870.94</v>
      </c>
      <c r="P435" s="48">
        <v>0</v>
      </c>
      <c r="Q435" s="48">
        <v>0</v>
      </c>
      <c r="R435" s="48">
        <v>0</v>
      </c>
      <c r="S435" s="94">
        <f t="shared" si="159"/>
        <v>4613611.75</v>
      </c>
      <c r="T435" s="374">
        <v>2017</v>
      </c>
      <c r="U435" s="374">
        <v>2017</v>
      </c>
      <c r="V435" s="374">
        <f>V434+1</f>
        <v>2</v>
      </c>
      <c r="W435" s="138" t="s">
        <v>142</v>
      </c>
      <c r="X435" s="138">
        <v>5</v>
      </c>
    </row>
    <row r="436" spans="1:24" s="23" customFormat="1" ht="18" customHeight="1" x14ac:dyDescent="0.25">
      <c r="A436" s="46">
        <f t="shared" ref="A436:A441" si="160">A435+1</f>
        <v>383</v>
      </c>
      <c r="B436" s="47" t="s">
        <v>286</v>
      </c>
      <c r="C436" s="46">
        <v>1956</v>
      </c>
      <c r="D436" s="46"/>
      <c r="E436" s="46"/>
      <c r="F436" s="134">
        <v>489.9</v>
      </c>
      <c r="G436" s="134">
        <v>448.5</v>
      </c>
      <c r="H436" s="49">
        <f t="shared" si="158"/>
        <v>2642221.1500000004</v>
      </c>
      <c r="I436" s="315">
        <f>ROUND(332.83*G436,2)-7126.02</f>
        <v>142148.24000000002</v>
      </c>
      <c r="J436" s="48">
        <v>0</v>
      </c>
      <c r="K436" s="48">
        <f>ROUND(4211.64*G436,2)-90172.85</f>
        <v>1798747.69</v>
      </c>
      <c r="L436" s="48">
        <v>0</v>
      </c>
      <c r="M436" s="69">
        <f>ROUND(1346.77*G436,2)-28834.87</f>
        <v>575191.48</v>
      </c>
      <c r="N436" s="48">
        <v>0</v>
      </c>
      <c r="O436" s="48">
        <v>126133.74</v>
      </c>
      <c r="P436" s="48">
        <v>0</v>
      </c>
      <c r="Q436" s="48">
        <v>0</v>
      </c>
      <c r="R436" s="48">
        <v>0</v>
      </c>
      <c r="S436" s="94">
        <f t="shared" si="159"/>
        <v>2642221.1500000004</v>
      </c>
      <c r="T436" s="374">
        <v>2017</v>
      </c>
      <c r="U436" s="374">
        <v>2017</v>
      </c>
      <c r="V436" s="374">
        <f t="shared" ref="V436:V441" si="161">V435+1</f>
        <v>3</v>
      </c>
      <c r="W436" s="138" t="s">
        <v>142</v>
      </c>
      <c r="X436" s="138">
        <v>2</v>
      </c>
    </row>
    <row r="437" spans="1:24" s="23" customFormat="1" ht="18" customHeight="1" x14ac:dyDescent="0.25">
      <c r="A437" s="46">
        <f t="shared" si="160"/>
        <v>384</v>
      </c>
      <c r="B437" s="47" t="s">
        <v>288</v>
      </c>
      <c r="C437" s="46">
        <v>1962</v>
      </c>
      <c r="D437" s="46"/>
      <c r="E437" s="46"/>
      <c r="F437" s="134">
        <v>1436.5</v>
      </c>
      <c r="G437" s="134">
        <v>1326</v>
      </c>
      <c r="H437" s="49">
        <f t="shared" si="158"/>
        <v>1517951.76</v>
      </c>
      <c r="I437" s="48">
        <v>0</v>
      </c>
      <c r="J437" s="48">
        <v>0</v>
      </c>
      <c r="K437" s="48">
        <v>0</v>
      </c>
      <c r="L437" s="48">
        <v>0</v>
      </c>
      <c r="M437" s="69">
        <f>ROUND(1144.76*G437,2)-O437</f>
        <v>1438567.26</v>
      </c>
      <c r="N437" s="48">
        <v>0</v>
      </c>
      <c r="O437" s="48">
        <v>79384.5</v>
      </c>
      <c r="P437" s="48">
        <v>0</v>
      </c>
      <c r="Q437" s="48">
        <v>0</v>
      </c>
      <c r="R437" s="48">
        <v>0</v>
      </c>
      <c r="S437" s="94">
        <f t="shared" si="159"/>
        <v>1517951.76</v>
      </c>
      <c r="T437" s="374">
        <v>2017</v>
      </c>
      <c r="U437" s="374">
        <v>2017</v>
      </c>
      <c r="V437" s="374">
        <f t="shared" si="161"/>
        <v>4</v>
      </c>
      <c r="W437" s="138" t="s">
        <v>142</v>
      </c>
      <c r="X437" s="138">
        <v>4</v>
      </c>
    </row>
    <row r="438" spans="1:24" s="23" customFormat="1" ht="18" customHeight="1" x14ac:dyDescent="0.25">
      <c r="A438" s="46">
        <f t="shared" si="160"/>
        <v>385</v>
      </c>
      <c r="B438" s="47" t="s">
        <v>289</v>
      </c>
      <c r="C438" s="46">
        <v>1963</v>
      </c>
      <c r="D438" s="46"/>
      <c r="E438" s="46"/>
      <c r="F438" s="134">
        <v>2192.1</v>
      </c>
      <c r="G438" s="134">
        <v>2025.7</v>
      </c>
      <c r="H438" s="49">
        <f t="shared" si="158"/>
        <v>2318940.33</v>
      </c>
      <c r="I438" s="48">
        <v>0</v>
      </c>
      <c r="J438" s="48">
        <v>0</v>
      </c>
      <c r="K438" s="69">
        <v>0</v>
      </c>
      <c r="L438" s="48">
        <v>0</v>
      </c>
      <c r="M438" s="48">
        <f>ROUND(1144.76*G438,2)-O438</f>
        <v>2214699.13</v>
      </c>
      <c r="N438" s="48">
        <v>0</v>
      </c>
      <c r="O438" s="48">
        <v>104241.2</v>
      </c>
      <c r="P438" s="48">
        <v>0</v>
      </c>
      <c r="Q438" s="48">
        <v>0</v>
      </c>
      <c r="R438" s="48">
        <v>0</v>
      </c>
      <c r="S438" s="94">
        <f t="shared" si="159"/>
        <v>2318940.33</v>
      </c>
      <c r="T438" s="374">
        <v>2017</v>
      </c>
      <c r="U438" s="374">
        <v>2017</v>
      </c>
      <c r="V438" s="374">
        <f t="shared" si="161"/>
        <v>5</v>
      </c>
      <c r="W438" s="138" t="s">
        <v>142</v>
      </c>
      <c r="X438" s="138">
        <v>4</v>
      </c>
    </row>
    <row r="439" spans="1:24" s="23" customFormat="1" ht="18" customHeight="1" x14ac:dyDescent="0.25">
      <c r="A439" s="46">
        <f t="shared" si="160"/>
        <v>386</v>
      </c>
      <c r="B439" s="47" t="s">
        <v>281</v>
      </c>
      <c r="C439" s="46">
        <v>1956</v>
      </c>
      <c r="D439" s="46"/>
      <c r="E439" s="46"/>
      <c r="F439" s="134">
        <v>498.8</v>
      </c>
      <c r="G439" s="134">
        <v>463.4</v>
      </c>
      <c r="H439" s="49">
        <f t="shared" si="158"/>
        <v>1951673.98</v>
      </c>
      <c r="I439" s="48">
        <v>0</v>
      </c>
      <c r="J439" s="48">
        <v>0</v>
      </c>
      <c r="K439" s="69">
        <f>ROUND(4211.64*G439,2)-O439</f>
        <v>1887413.54</v>
      </c>
      <c r="L439" s="48">
        <v>0</v>
      </c>
      <c r="M439" s="48">
        <v>0</v>
      </c>
      <c r="N439" s="48">
        <v>0</v>
      </c>
      <c r="O439" s="48">
        <v>64260.44</v>
      </c>
      <c r="P439" s="48">
        <v>0</v>
      </c>
      <c r="Q439" s="48">
        <v>0</v>
      </c>
      <c r="R439" s="48">
        <v>0</v>
      </c>
      <c r="S439" s="94">
        <f t="shared" si="159"/>
        <v>1951673.98</v>
      </c>
      <c r="T439" s="374">
        <v>2017</v>
      </c>
      <c r="U439" s="374">
        <v>2017</v>
      </c>
      <c r="V439" s="374">
        <f t="shared" si="161"/>
        <v>6</v>
      </c>
      <c r="W439" s="138" t="s">
        <v>142</v>
      </c>
      <c r="X439" s="138">
        <v>2</v>
      </c>
    </row>
    <row r="440" spans="1:24" s="23" customFormat="1" ht="18" customHeight="1" x14ac:dyDescent="0.25">
      <c r="A440" s="46">
        <f t="shared" si="160"/>
        <v>387</v>
      </c>
      <c r="B440" s="47" t="s">
        <v>282</v>
      </c>
      <c r="C440" s="46">
        <v>1960</v>
      </c>
      <c r="D440" s="46"/>
      <c r="E440" s="46"/>
      <c r="F440" s="134">
        <v>1437.1</v>
      </c>
      <c r="G440" s="134">
        <v>1267.3</v>
      </c>
      <c r="H440" s="49">
        <f t="shared" si="158"/>
        <v>2312746.46</v>
      </c>
      <c r="I440" s="48">
        <v>0</v>
      </c>
      <c r="J440" s="48">
        <v>0</v>
      </c>
      <c r="K440" s="69">
        <f>ROUND(1824.94*G440,2)-O440</f>
        <v>2258136.06</v>
      </c>
      <c r="L440" s="48">
        <v>0</v>
      </c>
      <c r="M440" s="48">
        <v>0</v>
      </c>
      <c r="N440" s="48">
        <v>0</v>
      </c>
      <c r="O440" s="48">
        <v>54610.400000000001</v>
      </c>
      <c r="P440" s="48">
        <v>0</v>
      </c>
      <c r="Q440" s="48">
        <v>0</v>
      </c>
      <c r="R440" s="48">
        <v>0</v>
      </c>
      <c r="S440" s="94">
        <f t="shared" si="159"/>
        <v>2312746.46</v>
      </c>
      <c r="T440" s="374">
        <v>2017</v>
      </c>
      <c r="U440" s="374">
        <v>2017</v>
      </c>
      <c r="V440" s="374">
        <f t="shared" si="161"/>
        <v>7</v>
      </c>
      <c r="W440" s="138" t="s">
        <v>142</v>
      </c>
      <c r="X440" s="138">
        <v>4</v>
      </c>
    </row>
    <row r="441" spans="1:24" s="23" customFormat="1" ht="18" customHeight="1" x14ac:dyDescent="0.25">
      <c r="A441" s="46">
        <f t="shared" si="160"/>
        <v>388</v>
      </c>
      <c r="B441" s="47" t="s">
        <v>280</v>
      </c>
      <c r="C441" s="46">
        <v>1956</v>
      </c>
      <c r="D441" s="46"/>
      <c r="E441" s="46"/>
      <c r="F441" s="134">
        <v>498.5</v>
      </c>
      <c r="G441" s="134">
        <v>461.8</v>
      </c>
      <c r="H441" s="49">
        <f t="shared" si="158"/>
        <v>1944935.35</v>
      </c>
      <c r="I441" s="48">
        <v>0</v>
      </c>
      <c r="J441" s="48">
        <v>0</v>
      </c>
      <c r="K441" s="69">
        <f>ROUND(4211.64*G441,2)-O441</f>
        <v>1881982.35</v>
      </c>
      <c r="L441" s="48">
        <v>0</v>
      </c>
      <c r="M441" s="48">
        <v>0</v>
      </c>
      <c r="N441" s="48">
        <v>0</v>
      </c>
      <c r="O441" s="48">
        <v>62953</v>
      </c>
      <c r="P441" s="48">
        <v>0</v>
      </c>
      <c r="Q441" s="48">
        <v>0</v>
      </c>
      <c r="R441" s="48">
        <v>0</v>
      </c>
      <c r="S441" s="94">
        <f t="shared" si="159"/>
        <v>1944935.35</v>
      </c>
      <c r="T441" s="374">
        <v>2017</v>
      </c>
      <c r="U441" s="374">
        <v>2017</v>
      </c>
      <c r="V441" s="374">
        <f t="shared" si="161"/>
        <v>8</v>
      </c>
      <c r="W441" s="138" t="s">
        <v>142</v>
      </c>
      <c r="X441" s="138">
        <v>2</v>
      </c>
    </row>
    <row r="442" spans="1:24" ht="18" customHeight="1" x14ac:dyDescent="0.25">
      <c r="A442" s="417" t="s">
        <v>257</v>
      </c>
      <c r="B442" s="423"/>
      <c r="C442" s="52"/>
      <c r="D442" s="52"/>
      <c r="E442" s="192"/>
      <c r="F442" s="93">
        <f t="shared" ref="F442:O442" si="162">SUM(F434:F441)</f>
        <v>13806.3</v>
      </c>
      <c r="G442" s="93">
        <f t="shared" si="162"/>
        <v>12455.199999999999</v>
      </c>
      <c r="H442" s="51">
        <f t="shared" si="162"/>
        <v>19870954.430000003</v>
      </c>
      <c r="I442" s="51">
        <f t="shared" si="162"/>
        <v>142148.24000000002</v>
      </c>
      <c r="J442" s="51">
        <f t="shared" si="162"/>
        <v>0</v>
      </c>
      <c r="K442" s="51">
        <f t="shared" si="162"/>
        <v>10241020.869999999</v>
      </c>
      <c r="L442" s="51">
        <f t="shared" si="162"/>
        <v>0</v>
      </c>
      <c r="M442" s="51">
        <f t="shared" si="162"/>
        <v>8721198.6799999997</v>
      </c>
      <c r="N442" s="51">
        <f t="shared" si="162"/>
        <v>0</v>
      </c>
      <c r="O442" s="51">
        <f t="shared" si="162"/>
        <v>766586.64</v>
      </c>
      <c r="P442" s="51">
        <f>SUM(P434:P441)</f>
        <v>0</v>
      </c>
      <c r="Q442" s="51">
        <f>SUM(Q434:Q441)</f>
        <v>0</v>
      </c>
      <c r="R442" s="51">
        <f>SUM(R434:R441)</f>
        <v>0</v>
      </c>
      <c r="S442" s="93">
        <f>SUM(S434:S441)</f>
        <v>19870954.430000003</v>
      </c>
      <c r="T442" s="21" t="s">
        <v>112</v>
      </c>
      <c r="U442" s="21" t="s">
        <v>112</v>
      </c>
      <c r="V442" s="3"/>
    </row>
    <row r="443" spans="1:24" ht="18" customHeight="1" x14ac:dyDescent="0.25">
      <c r="A443" s="419" t="s">
        <v>109</v>
      </c>
      <c r="B443" s="420"/>
      <c r="C443" s="420"/>
      <c r="D443" s="420"/>
      <c r="E443" s="421"/>
      <c r="F443" s="420"/>
      <c r="G443" s="420"/>
      <c r="H443" s="420"/>
      <c r="I443" s="420"/>
      <c r="J443" s="420"/>
      <c r="K443" s="420"/>
      <c r="L443" s="420"/>
      <c r="M443" s="420"/>
      <c r="N443" s="420"/>
      <c r="O443" s="420"/>
      <c r="P443" s="420"/>
      <c r="Q443" s="420"/>
      <c r="R443" s="420"/>
      <c r="S443" s="422"/>
      <c r="T443" s="35"/>
      <c r="U443" s="35"/>
      <c r="V443" s="35"/>
    </row>
    <row r="444" spans="1:24" ht="18" customHeight="1" x14ac:dyDescent="0.25">
      <c r="A444" s="405">
        <f>A441+1</f>
        <v>389</v>
      </c>
      <c r="B444" s="65" t="s">
        <v>504</v>
      </c>
      <c r="C444" s="374">
        <v>1975</v>
      </c>
      <c r="D444" s="374"/>
      <c r="E444" s="374"/>
      <c r="F444" s="253">
        <v>859.7</v>
      </c>
      <c r="G444" s="253">
        <v>662.2</v>
      </c>
      <c r="H444" s="49">
        <f>I444+J444+K444+L444+M444+N444+O444</f>
        <v>2788948.01</v>
      </c>
      <c r="I444" s="48">
        <v>0</v>
      </c>
      <c r="J444" s="48">
        <v>0</v>
      </c>
      <c r="K444" s="69">
        <f>ROUND(4211.64*G444,2)-O444</f>
        <v>2715024.55</v>
      </c>
      <c r="L444" s="48">
        <v>0</v>
      </c>
      <c r="M444" s="48">
        <v>0</v>
      </c>
      <c r="N444" s="48">
        <v>0</v>
      </c>
      <c r="O444" s="48">
        <v>73923.460000000006</v>
      </c>
      <c r="P444" s="48">
        <v>0</v>
      </c>
      <c r="Q444" s="48">
        <v>0</v>
      </c>
      <c r="R444" s="48">
        <v>0</v>
      </c>
      <c r="S444" s="94">
        <f>H444</f>
        <v>2788948.01</v>
      </c>
      <c r="T444" s="374">
        <v>2017</v>
      </c>
      <c r="U444" s="374">
        <v>2017</v>
      </c>
      <c r="V444" s="374">
        <v>1</v>
      </c>
      <c r="W444" s="65" t="s">
        <v>344</v>
      </c>
      <c r="X444" s="374">
        <v>2</v>
      </c>
    </row>
    <row r="445" spans="1:24" ht="18" customHeight="1" x14ac:dyDescent="0.25">
      <c r="A445" s="405">
        <f>A444+1</f>
        <v>390</v>
      </c>
      <c r="B445" s="65" t="s">
        <v>505</v>
      </c>
      <c r="C445" s="374">
        <v>1966</v>
      </c>
      <c r="D445" s="374"/>
      <c r="E445" s="374"/>
      <c r="F445" s="253">
        <v>1853.2</v>
      </c>
      <c r="G445" s="253">
        <v>1280.4000000000001</v>
      </c>
      <c r="H445" s="49">
        <f>I445+J445+K445+L445+M445+N445+O445</f>
        <v>1352294.46</v>
      </c>
      <c r="I445" s="48">
        <v>0</v>
      </c>
      <c r="J445" s="48">
        <v>0</v>
      </c>
      <c r="K445" s="69">
        <f>ROUND(1056.15*G445,2)-O445</f>
        <v>1291385.22</v>
      </c>
      <c r="L445" s="48">
        <v>0</v>
      </c>
      <c r="M445" s="48">
        <v>0</v>
      </c>
      <c r="N445" s="48">
        <v>0</v>
      </c>
      <c r="O445" s="48">
        <v>60909.24</v>
      </c>
      <c r="P445" s="48">
        <v>0</v>
      </c>
      <c r="Q445" s="48">
        <v>0</v>
      </c>
      <c r="R445" s="48">
        <v>0</v>
      </c>
      <c r="S445" s="94">
        <f>H445</f>
        <v>1352294.46</v>
      </c>
      <c r="T445" s="374">
        <v>2017</v>
      </c>
      <c r="U445" s="374">
        <v>2017</v>
      </c>
      <c r="V445" s="374">
        <f>V444+1</f>
        <v>2</v>
      </c>
      <c r="W445" s="65" t="s">
        <v>344</v>
      </c>
      <c r="X445" s="374">
        <v>4</v>
      </c>
    </row>
    <row r="446" spans="1:24" ht="18" customHeight="1" x14ac:dyDescent="0.25">
      <c r="A446" s="417" t="s">
        <v>257</v>
      </c>
      <c r="B446" s="423"/>
      <c r="C446" s="52"/>
      <c r="D446" s="52"/>
      <c r="E446" s="192"/>
      <c r="F446" s="93">
        <f t="shared" ref="F446:O446" si="163">SUM(F444:F445)</f>
        <v>2712.9</v>
      </c>
      <c r="G446" s="93">
        <f t="shared" si="163"/>
        <v>1942.6000000000001</v>
      </c>
      <c r="H446" s="51">
        <f t="shared" si="163"/>
        <v>4141242.4699999997</v>
      </c>
      <c r="I446" s="51">
        <f t="shared" si="163"/>
        <v>0</v>
      </c>
      <c r="J446" s="51">
        <f t="shared" si="163"/>
        <v>0</v>
      </c>
      <c r="K446" s="51">
        <f t="shared" si="163"/>
        <v>4006409.7699999996</v>
      </c>
      <c r="L446" s="51">
        <f t="shared" si="163"/>
        <v>0</v>
      </c>
      <c r="M446" s="51">
        <f t="shared" si="163"/>
        <v>0</v>
      </c>
      <c r="N446" s="51">
        <f t="shared" si="163"/>
        <v>0</v>
      </c>
      <c r="O446" s="51">
        <f t="shared" si="163"/>
        <v>134832.70000000001</v>
      </c>
      <c r="P446" s="51">
        <f>SUM(P444:P445)</f>
        <v>0</v>
      </c>
      <c r="Q446" s="51">
        <f>SUM(Q444:Q445)</f>
        <v>0</v>
      </c>
      <c r="R446" s="51">
        <f>SUM(R444:R445)</f>
        <v>0</v>
      </c>
      <c r="S446" s="93">
        <f>SUM(S444:S445)</f>
        <v>4141242.4699999997</v>
      </c>
      <c r="T446" s="21" t="s">
        <v>112</v>
      </c>
      <c r="U446" s="21" t="s">
        <v>112</v>
      </c>
      <c r="V446" s="3"/>
    </row>
    <row r="447" spans="1:24" ht="18" customHeight="1" x14ac:dyDescent="0.25">
      <c r="A447" s="419" t="s">
        <v>110</v>
      </c>
      <c r="B447" s="420"/>
      <c r="C447" s="420"/>
      <c r="D447" s="420"/>
      <c r="E447" s="421"/>
      <c r="F447" s="420"/>
      <c r="G447" s="420"/>
      <c r="H447" s="420"/>
      <c r="I447" s="420"/>
      <c r="J447" s="420"/>
      <c r="K447" s="420"/>
      <c r="L447" s="420"/>
      <c r="M447" s="420"/>
      <c r="N447" s="420"/>
      <c r="O447" s="420"/>
      <c r="P447" s="420"/>
      <c r="Q447" s="420"/>
      <c r="R447" s="420"/>
      <c r="S447" s="422"/>
      <c r="T447" s="35"/>
      <c r="U447" s="35"/>
      <c r="V447" s="35"/>
    </row>
    <row r="448" spans="1:24" ht="18" customHeight="1" x14ac:dyDescent="0.3">
      <c r="A448" s="56">
        <f>A445+1</f>
        <v>391</v>
      </c>
      <c r="B448" s="254" t="s">
        <v>111</v>
      </c>
      <c r="C448" s="374">
        <v>1980</v>
      </c>
      <c r="D448" s="374"/>
      <c r="E448" s="374"/>
      <c r="F448" s="57">
        <v>3886.7</v>
      </c>
      <c r="G448" s="121">
        <v>2929.4</v>
      </c>
      <c r="H448" s="49">
        <f t="shared" ref="H448:H453" si="164">I448+J448+K448+L448+M448+N448+O448</f>
        <v>1412029.39</v>
      </c>
      <c r="I448" s="58">
        <f>ROUND((191.67+290.35)*G448,2)-O448</f>
        <v>1327307.6299999999</v>
      </c>
      <c r="J448" s="48">
        <v>0</v>
      </c>
      <c r="K448" s="48">
        <v>0</v>
      </c>
      <c r="L448" s="48">
        <v>0</v>
      </c>
      <c r="M448" s="48">
        <v>0</v>
      </c>
      <c r="N448" s="48">
        <v>0</v>
      </c>
      <c r="O448" s="48">
        <v>84721.76</v>
      </c>
      <c r="P448" s="48">
        <v>0</v>
      </c>
      <c r="Q448" s="48">
        <v>0</v>
      </c>
      <c r="R448" s="48">
        <v>0</v>
      </c>
      <c r="S448" s="94">
        <f t="shared" ref="S448:S453" si="165">H448</f>
        <v>1412029.39</v>
      </c>
      <c r="T448" s="374">
        <v>2017</v>
      </c>
      <c r="U448" s="374">
        <v>2017</v>
      </c>
      <c r="V448" s="374">
        <v>1</v>
      </c>
      <c r="W448" s="254" t="s">
        <v>142</v>
      </c>
      <c r="X448" s="54">
        <v>5</v>
      </c>
    </row>
    <row r="449" spans="1:24" ht="18" customHeight="1" x14ac:dyDescent="0.3">
      <c r="A449" s="56">
        <f>A448+1</f>
        <v>392</v>
      </c>
      <c r="B449" s="254" t="s">
        <v>285</v>
      </c>
      <c r="C449" s="374">
        <v>1981</v>
      </c>
      <c r="D449" s="374"/>
      <c r="E449" s="374"/>
      <c r="F449" s="57">
        <v>7263.7</v>
      </c>
      <c r="G449" s="121">
        <v>6213.3</v>
      </c>
      <c r="H449" s="49">
        <f t="shared" si="164"/>
        <v>3037801.66</v>
      </c>
      <c r="I449" s="69">
        <v>0</v>
      </c>
      <c r="J449" s="152">
        <f>3037801.66-75945.04</f>
        <v>2961856.62</v>
      </c>
      <c r="K449" s="48">
        <v>0</v>
      </c>
      <c r="L449" s="48">
        <v>0</v>
      </c>
      <c r="M449" s="48">
        <v>0</v>
      </c>
      <c r="N449" s="48">
        <v>0</v>
      </c>
      <c r="O449" s="49">
        <v>75945.039999999994</v>
      </c>
      <c r="P449" s="48">
        <v>0</v>
      </c>
      <c r="Q449" s="48">
        <v>0</v>
      </c>
      <c r="R449" s="48">
        <v>0</v>
      </c>
      <c r="S449" s="94">
        <f t="shared" si="165"/>
        <v>3037801.66</v>
      </c>
      <c r="T449" s="374">
        <v>2017</v>
      </c>
      <c r="U449" s="374">
        <v>2017</v>
      </c>
      <c r="V449" s="374">
        <f>V448+1</f>
        <v>2</v>
      </c>
      <c r="W449" s="254" t="s">
        <v>141</v>
      </c>
      <c r="X449" s="54">
        <v>9</v>
      </c>
    </row>
    <row r="450" spans="1:24" ht="18" customHeight="1" x14ac:dyDescent="0.3">
      <c r="A450" s="56">
        <f t="shared" ref="A450:A453" si="166">A449+1</f>
        <v>393</v>
      </c>
      <c r="B450" s="254" t="s">
        <v>623</v>
      </c>
      <c r="C450" s="374">
        <v>1983</v>
      </c>
      <c r="D450" s="374"/>
      <c r="E450" s="374"/>
      <c r="F450" s="122">
        <v>4395.7</v>
      </c>
      <c r="G450" s="123">
        <v>3799.3</v>
      </c>
      <c r="H450" s="49">
        <f t="shared" si="164"/>
        <v>2031143.77</v>
      </c>
      <c r="I450" s="58">
        <f>ROUND((229.94+304.67)*G450,2)-O450</f>
        <v>1909275.1400000001</v>
      </c>
      <c r="J450" s="48">
        <v>0</v>
      </c>
      <c r="K450" s="48">
        <v>0</v>
      </c>
      <c r="L450" s="48">
        <v>0</v>
      </c>
      <c r="M450" s="48">
        <v>0</v>
      </c>
      <c r="N450" s="48">
        <v>0</v>
      </c>
      <c r="O450" s="48">
        <v>121868.63</v>
      </c>
      <c r="P450" s="48">
        <v>0</v>
      </c>
      <c r="Q450" s="48">
        <v>0</v>
      </c>
      <c r="R450" s="48">
        <v>0</v>
      </c>
      <c r="S450" s="94">
        <f t="shared" si="165"/>
        <v>2031143.77</v>
      </c>
      <c r="T450" s="374">
        <v>2017</v>
      </c>
      <c r="U450" s="374">
        <v>2017</v>
      </c>
      <c r="V450" s="374">
        <f t="shared" ref="V450:V453" si="167">V449+1</f>
        <v>3</v>
      </c>
      <c r="W450" s="254" t="s">
        <v>141</v>
      </c>
      <c r="X450" s="54">
        <v>9</v>
      </c>
    </row>
    <row r="451" spans="1:24" ht="18" customHeight="1" x14ac:dyDescent="0.3">
      <c r="A451" s="56">
        <f t="shared" si="166"/>
        <v>394</v>
      </c>
      <c r="B451" s="254" t="s">
        <v>283</v>
      </c>
      <c r="C451" s="374">
        <v>1958</v>
      </c>
      <c r="D451" s="374"/>
      <c r="E451" s="374"/>
      <c r="F451" s="57">
        <v>694.3</v>
      </c>
      <c r="G451" s="121">
        <v>454.7</v>
      </c>
      <c r="H451" s="49">
        <f t="shared" si="164"/>
        <v>225599.41</v>
      </c>
      <c r="I451" s="316">
        <f>ROUND((197.29+298.86)*G451,2)-O451</f>
        <v>212063.45</v>
      </c>
      <c r="J451" s="48">
        <v>0</v>
      </c>
      <c r="K451" s="48">
        <v>0</v>
      </c>
      <c r="L451" s="48">
        <v>0</v>
      </c>
      <c r="M451" s="48">
        <v>0</v>
      </c>
      <c r="N451" s="48">
        <v>0</v>
      </c>
      <c r="O451" s="48">
        <v>13535.96</v>
      </c>
      <c r="P451" s="48">
        <v>0</v>
      </c>
      <c r="Q451" s="48">
        <v>0</v>
      </c>
      <c r="R451" s="48">
        <v>0</v>
      </c>
      <c r="S451" s="94">
        <f t="shared" si="165"/>
        <v>225599.41</v>
      </c>
      <c r="T451" s="374">
        <v>2017</v>
      </c>
      <c r="U451" s="374">
        <v>2017</v>
      </c>
      <c r="V451" s="374">
        <f t="shared" si="167"/>
        <v>4</v>
      </c>
      <c r="W451" s="254" t="s">
        <v>142</v>
      </c>
      <c r="X451" s="56">
        <v>2</v>
      </c>
    </row>
    <row r="452" spans="1:24" ht="18" customHeight="1" x14ac:dyDescent="0.3">
      <c r="A452" s="56">
        <f t="shared" si="166"/>
        <v>395</v>
      </c>
      <c r="B452" s="254" t="s">
        <v>284</v>
      </c>
      <c r="C452" s="374">
        <v>1963</v>
      </c>
      <c r="D452" s="374"/>
      <c r="E452" s="374"/>
      <c r="F452" s="57">
        <v>975.6</v>
      </c>
      <c r="G452" s="121">
        <v>636.6</v>
      </c>
      <c r="H452" s="49">
        <f t="shared" si="164"/>
        <v>306853.93</v>
      </c>
      <c r="I452" s="58">
        <f>ROUND((191.67+290.35)*G452,2)-O452</f>
        <v>288442.69</v>
      </c>
      <c r="J452" s="48">
        <v>0</v>
      </c>
      <c r="K452" s="48">
        <v>0</v>
      </c>
      <c r="L452" s="48">
        <v>0</v>
      </c>
      <c r="M452" s="48">
        <v>0</v>
      </c>
      <c r="N452" s="48">
        <v>0</v>
      </c>
      <c r="O452" s="48">
        <v>18411.240000000002</v>
      </c>
      <c r="P452" s="48">
        <v>0</v>
      </c>
      <c r="Q452" s="48">
        <v>0</v>
      </c>
      <c r="R452" s="48">
        <v>0</v>
      </c>
      <c r="S452" s="94">
        <f t="shared" si="165"/>
        <v>306853.93</v>
      </c>
      <c r="T452" s="374">
        <v>2017</v>
      </c>
      <c r="U452" s="374">
        <v>2017</v>
      </c>
      <c r="V452" s="374">
        <f t="shared" si="167"/>
        <v>5</v>
      </c>
      <c r="W452" s="254" t="s">
        <v>142</v>
      </c>
      <c r="X452" s="56">
        <v>3</v>
      </c>
    </row>
    <row r="453" spans="1:24" ht="18" customHeight="1" x14ac:dyDescent="0.3">
      <c r="A453" s="56">
        <f t="shared" si="166"/>
        <v>396</v>
      </c>
      <c r="B453" s="254" t="s">
        <v>291</v>
      </c>
      <c r="C453" s="374">
        <v>1992</v>
      </c>
      <c r="D453" s="374"/>
      <c r="E453" s="374"/>
      <c r="F453" s="59">
        <v>5629.58</v>
      </c>
      <c r="G453" s="121">
        <v>4757</v>
      </c>
      <c r="H453" s="49">
        <f t="shared" si="164"/>
        <v>2543139.77</v>
      </c>
      <c r="I453" s="58">
        <f>ROUND((229.94+304.67)*G453,2)-O453</f>
        <v>2390551.38</v>
      </c>
      <c r="J453" s="48">
        <v>0</v>
      </c>
      <c r="K453" s="48">
        <v>0</v>
      </c>
      <c r="L453" s="48">
        <v>0</v>
      </c>
      <c r="M453" s="48">
        <v>0</v>
      </c>
      <c r="N453" s="48">
        <v>0</v>
      </c>
      <c r="O453" s="48">
        <v>152588.39000000001</v>
      </c>
      <c r="P453" s="48">
        <v>0</v>
      </c>
      <c r="Q453" s="48">
        <v>0</v>
      </c>
      <c r="R453" s="48">
        <v>0</v>
      </c>
      <c r="S453" s="94">
        <f t="shared" si="165"/>
        <v>2543139.77</v>
      </c>
      <c r="T453" s="374">
        <v>2017</v>
      </c>
      <c r="U453" s="374">
        <v>2017</v>
      </c>
      <c r="V453" s="374">
        <f t="shared" si="167"/>
        <v>6</v>
      </c>
      <c r="W453" s="254" t="s">
        <v>141</v>
      </c>
      <c r="X453" s="54">
        <v>9</v>
      </c>
    </row>
    <row r="454" spans="1:24" ht="18" customHeight="1" x14ac:dyDescent="0.25">
      <c r="A454" s="417" t="s">
        <v>257</v>
      </c>
      <c r="B454" s="423"/>
      <c r="C454" s="52"/>
      <c r="D454" s="52"/>
      <c r="E454" s="192"/>
      <c r="F454" s="93">
        <f t="shared" ref="F454:O454" si="168">SUM(F448:F453)</f>
        <v>22845.579999999994</v>
      </c>
      <c r="G454" s="64">
        <f t="shared" si="168"/>
        <v>18790.300000000003</v>
      </c>
      <c r="H454" s="51">
        <f t="shared" si="168"/>
        <v>9556567.9299999997</v>
      </c>
      <c r="I454" s="45">
        <f t="shared" si="168"/>
        <v>6127640.29</v>
      </c>
      <c r="J454" s="45">
        <f t="shared" si="168"/>
        <v>2961856.62</v>
      </c>
      <c r="K454" s="45">
        <f t="shared" si="168"/>
        <v>0</v>
      </c>
      <c r="L454" s="45">
        <f t="shared" si="168"/>
        <v>0</v>
      </c>
      <c r="M454" s="45">
        <f t="shared" si="168"/>
        <v>0</v>
      </c>
      <c r="N454" s="45">
        <f t="shared" si="168"/>
        <v>0</v>
      </c>
      <c r="O454" s="45">
        <f t="shared" si="168"/>
        <v>467071.02</v>
      </c>
      <c r="P454" s="45">
        <f>SUM(P448:P453)</f>
        <v>0</v>
      </c>
      <c r="Q454" s="45">
        <f>SUM(Q448:Q453)</f>
        <v>0</v>
      </c>
      <c r="R454" s="45">
        <f>SUM(R448:R453)</f>
        <v>0</v>
      </c>
      <c r="S454" s="93">
        <f>SUM(S448:S453)</f>
        <v>9556567.9299999997</v>
      </c>
      <c r="T454" s="21" t="s">
        <v>112</v>
      </c>
      <c r="U454" s="21" t="s">
        <v>112</v>
      </c>
      <c r="V454" s="3"/>
    </row>
    <row r="455" spans="1:24" ht="18" customHeight="1" x14ac:dyDescent="0.25">
      <c r="A455" s="419" t="s">
        <v>79</v>
      </c>
      <c r="B455" s="420"/>
      <c r="C455" s="420"/>
      <c r="D455" s="420"/>
      <c r="E455" s="421"/>
      <c r="F455" s="420"/>
      <c r="G455" s="420"/>
      <c r="H455" s="420"/>
      <c r="I455" s="420"/>
      <c r="J455" s="420"/>
      <c r="K455" s="420"/>
      <c r="L455" s="420"/>
      <c r="M455" s="420"/>
      <c r="N455" s="420"/>
      <c r="O455" s="420"/>
      <c r="P455" s="420"/>
      <c r="Q455" s="420"/>
      <c r="R455" s="420"/>
      <c r="S455" s="422"/>
      <c r="T455" s="22"/>
      <c r="U455" s="22"/>
      <c r="V455" s="22"/>
    </row>
    <row r="456" spans="1:24" s="351" customFormat="1" ht="18" customHeight="1" x14ac:dyDescent="0.25">
      <c r="A456" s="374">
        <f>A453+1</f>
        <v>397</v>
      </c>
      <c r="B456" s="384" t="s">
        <v>599</v>
      </c>
      <c r="C456" s="352">
        <v>1936</v>
      </c>
      <c r="D456" s="374"/>
      <c r="E456" s="374"/>
      <c r="F456" s="173">
        <v>351.9</v>
      </c>
      <c r="G456" s="173">
        <v>318.3</v>
      </c>
      <c r="H456" s="305">
        <f t="shared" ref="H456:H461" si="169">I456+J456+K456+L456+M456+N456+O456</f>
        <v>931135.72200000007</v>
      </c>
      <c r="I456" s="69">
        <v>0</v>
      </c>
      <c r="J456" s="69">
        <v>0</v>
      </c>
      <c r="K456" s="69">
        <v>0</v>
      </c>
      <c r="L456" s="69">
        <v>0</v>
      </c>
      <c r="M456" s="58">
        <f>G456*2925.34</f>
        <v>931135.72200000007</v>
      </c>
      <c r="N456" s="69">
        <v>0</v>
      </c>
      <c r="O456" s="69">
        <v>0</v>
      </c>
      <c r="P456" s="69">
        <v>0</v>
      </c>
      <c r="Q456" s="69">
        <v>0</v>
      </c>
      <c r="R456" s="69">
        <v>0</v>
      </c>
      <c r="S456" s="397">
        <f t="shared" ref="S456:S461" si="170">H456</f>
        <v>931135.72200000007</v>
      </c>
      <c r="T456" s="374">
        <v>2016</v>
      </c>
      <c r="U456" s="374">
        <v>2017</v>
      </c>
      <c r="V456" s="353">
        <v>1</v>
      </c>
    </row>
    <row r="457" spans="1:24" ht="18" customHeight="1" x14ac:dyDescent="0.25">
      <c r="A457" s="46">
        <f>A456+1</f>
        <v>398</v>
      </c>
      <c r="B457" s="255" t="s">
        <v>336</v>
      </c>
      <c r="C457" s="256">
        <v>1970</v>
      </c>
      <c r="D457" s="256"/>
      <c r="E457" s="256"/>
      <c r="F457" s="257">
        <v>4912.3999999999996</v>
      </c>
      <c r="G457" s="257">
        <v>4525.8999999999996</v>
      </c>
      <c r="H457" s="49">
        <f t="shared" si="169"/>
        <v>4780029.29</v>
      </c>
      <c r="I457" s="48">
        <v>0</v>
      </c>
      <c r="J457" s="69">
        <v>0</v>
      </c>
      <c r="K457" s="48">
        <f>ROUND(1056.15*G457,2)-O457</f>
        <v>4658838.57</v>
      </c>
      <c r="L457" s="48">
        <v>0</v>
      </c>
      <c r="M457" s="48">
        <v>0</v>
      </c>
      <c r="N457" s="48">
        <v>0</v>
      </c>
      <c r="O457" s="48">
        <v>121190.72</v>
      </c>
      <c r="P457" s="48">
        <v>0</v>
      </c>
      <c r="Q457" s="48">
        <v>0</v>
      </c>
      <c r="R457" s="48">
        <v>0</v>
      </c>
      <c r="S457" s="94">
        <f t="shared" si="170"/>
        <v>4780029.29</v>
      </c>
      <c r="T457" s="374">
        <v>2017</v>
      </c>
      <c r="U457" s="374">
        <v>2017</v>
      </c>
      <c r="V457" s="374">
        <v>1</v>
      </c>
      <c r="W457" s="255" t="s">
        <v>142</v>
      </c>
      <c r="X457" s="258">
        <v>5</v>
      </c>
    </row>
    <row r="458" spans="1:24" ht="18" customHeight="1" x14ac:dyDescent="0.25">
      <c r="A458" s="46">
        <f t="shared" ref="A458:A461" si="171">A457+1</f>
        <v>399</v>
      </c>
      <c r="B458" s="255" t="s">
        <v>334</v>
      </c>
      <c r="C458" s="256">
        <v>1952</v>
      </c>
      <c r="D458" s="256"/>
      <c r="E458" s="256"/>
      <c r="F458" s="257">
        <v>448.6</v>
      </c>
      <c r="G458" s="257">
        <v>402.8</v>
      </c>
      <c r="H458" s="49">
        <f t="shared" si="169"/>
        <v>1696448.59</v>
      </c>
      <c r="I458" s="48">
        <v>0</v>
      </c>
      <c r="J458" s="48">
        <v>0</v>
      </c>
      <c r="K458" s="69">
        <f>ROUND(4211.64*G458,2)-O458</f>
        <v>1624579.51</v>
      </c>
      <c r="L458" s="48">
        <v>0</v>
      </c>
      <c r="M458" s="48">
        <v>0</v>
      </c>
      <c r="N458" s="48">
        <v>0</v>
      </c>
      <c r="O458" s="48">
        <v>71869.08</v>
      </c>
      <c r="P458" s="48">
        <v>0</v>
      </c>
      <c r="Q458" s="48">
        <v>0</v>
      </c>
      <c r="R458" s="48">
        <v>0</v>
      </c>
      <c r="S458" s="94">
        <f t="shared" si="170"/>
        <v>1696448.59</v>
      </c>
      <c r="T458" s="374">
        <v>2017</v>
      </c>
      <c r="U458" s="374">
        <v>2017</v>
      </c>
      <c r="V458" s="374">
        <f>V457+1</f>
        <v>2</v>
      </c>
      <c r="W458" s="255" t="s">
        <v>337</v>
      </c>
      <c r="X458" s="258">
        <v>2</v>
      </c>
    </row>
    <row r="459" spans="1:24" ht="18" customHeight="1" x14ac:dyDescent="0.25">
      <c r="A459" s="46">
        <f t="shared" si="171"/>
        <v>400</v>
      </c>
      <c r="B459" s="255" t="s">
        <v>333</v>
      </c>
      <c r="C459" s="256">
        <v>1955</v>
      </c>
      <c r="D459" s="256"/>
      <c r="E459" s="256"/>
      <c r="F459" s="257">
        <v>686.7</v>
      </c>
      <c r="G459" s="257">
        <v>607.4</v>
      </c>
      <c r="H459" s="49">
        <f t="shared" si="169"/>
        <v>2558150.14</v>
      </c>
      <c r="I459" s="48">
        <v>0</v>
      </c>
      <c r="J459" s="48">
        <v>0</v>
      </c>
      <c r="K459" s="69">
        <f>ROUND(4211.64*G459,2)-O459</f>
        <v>2486689.3400000003</v>
      </c>
      <c r="L459" s="48">
        <v>0</v>
      </c>
      <c r="M459" s="48">
        <v>0</v>
      </c>
      <c r="N459" s="48">
        <v>0</v>
      </c>
      <c r="O459" s="48">
        <v>71460.800000000003</v>
      </c>
      <c r="P459" s="48">
        <v>0</v>
      </c>
      <c r="Q459" s="48">
        <v>0</v>
      </c>
      <c r="R459" s="48">
        <v>0</v>
      </c>
      <c r="S459" s="94">
        <f t="shared" si="170"/>
        <v>2558150.14</v>
      </c>
      <c r="T459" s="374">
        <v>2017</v>
      </c>
      <c r="U459" s="374">
        <v>2017</v>
      </c>
      <c r="V459" s="374">
        <f t="shared" ref="V459:V461" si="172">V458+1</f>
        <v>3</v>
      </c>
      <c r="W459" s="255" t="s">
        <v>142</v>
      </c>
      <c r="X459" s="258">
        <v>2</v>
      </c>
    </row>
    <row r="460" spans="1:24" ht="18" customHeight="1" x14ac:dyDescent="0.25">
      <c r="A460" s="46">
        <f t="shared" si="171"/>
        <v>401</v>
      </c>
      <c r="B460" s="255" t="s">
        <v>332</v>
      </c>
      <c r="C460" s="256">
        <v>1985</v>
      </c>
      <c r="D460" s="256"/>
      <c r="E460" s="256"/>
      <c r="F460" s="257">
        <v>2703.3</v>
      </c>
      <c r="G460" s="257">
        <v>2609.1999999999998</v>
      </c>
      <c r="H460" s="49">
        <f t="shared" si="169"/>
        <v>3037801.66</v>
      </c>
      <c r="I460" s="48">
        <v>0</v>
      </c>
      <c r="J460" s="152">
        <f>3037801.66-75945.04</f>
        <v>2961856.62</v>
      </c>
      <c r="K460" s="69">
        <v>0</v>
      </c>
      <c r="L460" s="48">
        <v>0</v>
      </c>
      <c r="M460" s="48">
        <v>0</v>
      </c>
      <c r="N460" s="48">
        <v>0</v>
      </c>
      <c r="O460" s="49">
        <v>75945.039999999994</v>
      </c>
      <c r="P460" s="48">
        <v>0</v>
      </c>
      <c r="Q460" s="48">
        <v>0</v>
      </c>
      <c r="R460" s="48">
        <v>0</v>
      </c>
      <c r="S460" s="94">
        <f t="shared" si="170"/>
        <v>3037801.66</v>
      </c>
      <c r="T460" s="374">
        <v>2017</v>
      </c>
      <c r="U460" s="374">
        <v>2017</v>
      </c>
      <c r="V460" s="374">
        <f t="shared" si="172"/>
        <v>4</v>
      </c>
      <c r="W460" s="255" t="s">
        <v>141</v>
      </c>
      <c r="X460" s="258">
        <v>9</v>
      </c>
    </row>
    <row r="461" spans="1:24" ht="18" customHeight="1" x14ac:dyDescent="0.25">
      <c r="A461" s="46">
        <f t="shared" si="171"/>
        <v>402</v>
      </c>
      <c r="B461" s="255" t="s">
        <v>335</v>
      </c>
      <c r="C461" s="256">
        <v>1965</v>
      </c>
      <c r="D461" s="256"/>
      <c r="E461" s="256"/>
      <c r="F461" s="257">
        <v>1499.3</v>
      </c>
      <c r="G461" s="257">
        <v>1392.7</v>
      </c>
      <c r="H461" s="49">
        <f t="shared" si="169"/>
        <v>2541593.94</v>
      </c>
      <c r="I461" s="48">
        <v>0</v>
      </c>
      <c r="J461" s="48">
        <v>0</v>
      </c>
      <c r="K461" s="69">
        <f>ROUND(1824.94*G461,2)-O461</f>
        <v>2482217.52</v>
      </c>
      <c r="L461" s="48">
        <v>0</v>
      </c>
      <c r="M461" s="48">
        <v>0</v>
      </c>
      <c r="N461" s="48">
        <v>0</v>
      </c>
      <c r="O461" s="48">
        <v>59376.42</v>
      </c>
      <c r="P461" s="48">
        <v>0</v>
      </c>
      <c r="Q461" s="48">
        <v>0</v>
      </c>
      <c r="R461" s="48">
        <v>0</v>
      </c>
      <c r="S461" s="94">
        <f t="shared" si="170"/>
        <v>2541593.94</v>
      </c>
      <c r="T461" s="374">
        <v>2017</v>
      </c>
      <c r="U461" s="374">
        <v>2017</v>
      </c>
      <c r="V461" s="374">
        <f t="shared" si="172"/>
        <v>5</v>
      </c>
      <c r="W461" s="255" t="s">
        <v>142</v>
      </c>
      <c r="X461" s="258">
        <v>4</v>
      </c>
    </row>
    <row r="462" spans="1:24" ht="18" customHeight="1" x14ac:dyDescent="0.25">
      <c r="A462" s="417" t="s">
        <v>257</v>
      </c>
      <c r="B462" s="423"/>
      <c r="C462" s="52"/>
      <c r="D462" s="52"/>
      <c r="E462" s="192"/>
      <c r="F462" s="64">
        <f>SUM(F456:F461)</f>
        <v>10602.199999999999</v>
      </c>
      <c r="G462" s="64">
        <f>SUM(G456:G461)</f>
        <v>9856.2999999999993</v>
      </c>
      <c r="H462" s="45">
        <f>SUM(H456:H461)</f>
        <v>15545159.342</v>
      </c>
      <c r="I462" s="45">
        <f t="shared" ref="I462:S462" si="173">SUM(I456:I461)</f>
        <v>0</v>
      </c>
      <c r="J462" s="45">
        <f t="shared" si="173"/>
        <v>2961856.62</v>
      </c>
      <c r="K462" s="45">
        <f t="shared" si="173"/>
        <v>11252324.939999999</v>
      </c>
      <c r="L462" s="45">
        <f t="shared" si="173"/>
        <v>0</v>
      </c>
      <c r="M462" s="45">
        <f t="shared" si="173"/>
        <v>931135.72200000007</v>
      </c>
      <c r="N462" s="45">
        <f t="shared" si="173"/>
        <v>0</v>
      </c>
      <c r="O462" s="45">
        <f t="shared" si="173"/>
        <v>399842.05999999994</v>
      </c>
      <c r="P462" s="45">
        <f t="shared" si="173"/>
        <v>0</v>
      </c>
      <c r="Q462" s="45">
        <f t="shared" si="173"/>
        <v>0</v>
      </c>
      <c r="R462" s="45">
        <f t="shared" si="173"/>
        <v>0</v>
      </c>
      <c r="S462" s="45">
        <f t="shared" si="173"/>
        <v>15545159.342</v>
      </c>
      <c r="T462" s="21" t="s">
        <v>112</v>
      </c>
      <c r="U462" s="21" t="s">
        <v>112</v>
      </c>
      <c r="V462" s="3"/>
    </row>
    <row r="463" spans="1:24" ht="18" customHeight="1" x14ac:dyDescent="0.25">
      <c r="A463" s="419" t="s">
        <v>27</v>
      </c>
      <c r="B463" s="420"/>
      <c r="C463" s="420"/>
      <c r="D463" s="420"/>
      <c r="E463" s="421"/>
      <c r="F463" s="420"/>
      <c r="G463" s="420"/>
      <c r="H463" s="420"/>
      <c r="I463" s="420"/>
      <c r="J463" s="420"/>
      <c r="K463" s="420"/>
      <c r="L463" s="420"/>
      <c r="M463" s="420"/>
      <c r="N463" s="420"/>
      <c r="O463" s="420"/>
      <c r="P463" s="420"/>
      <c r="Q463" s="420"/>
      <c r="R463" s="420"/>
      <c r="S463" s="422"/>
      <c r="T463" s="374"/>
      <c r="U463" s="374"/>
      <c r="V463" s="22"/>
    </row>
    <row r="464" spans="1:24" s="351" customFormat="1" ht="18" customHeight="1" x14ac:dyDescent="0.25">
      <c r="A464" s="68">
        <f>A461+1</f>
        <v>403</v>
      </c>
      <c r="B464" s="229" t="s">
        <v>600</v>
      </c>
      <c r="C464" s="398">
        <v>1967</v>
      </c>
      <c r="D464" s="68"/>
      <c r="E464" s="68"/>
      <c r="F464" s="63">
        <v>1018.3</v>
      </c>
      <c r="G464" s="63">
        <v>608.79999999999995</v>
      </c>
      <c r="H464" s="305">
        <f>I464+J464+K464+L464+M464+N464+O464</f>
        <v>642984.12</v>
      </c>
      <c r="I464" s="69">
        <v>0</v>
      </c>
      <c r="J464" s="69">
        <v>0</v>
      </c>
      <c r="K464" s="69">
        <f>ROUND(1056.15*G464,2)-O464</f>
        <v>606520.04</v>
      </c>
      <c r="L464" s="69">
        <v>0</v>
      </c>
      <c r="M464" s="69">
        <v>0</v>
      </c>
      <c r="N464" s="69">
        <v>0</v>
      </c>
      <c r="O464" s="69">
        <v>36464.080000000002</v>
      </c>
      <c r="P464" s="69">
        <v>0</v>
      </c>
      <c r="Q464" s="69">
        <v>0</v>
      </c>
      <c r="R464" s="69">
        <v>0</v>
      </c>
      <c r="S464" s="94">
        <f>H464</f>
        <v>642984.12</v>
      </c>
      <c r="T464" s="374">
        <v>2016</v>
      </c>
      <c r="U464" s="374">
        <v>2017</v>
      </c>
      <c r="V464" s="353">
        <v>1</v>
      </c>
    </row>
    <row r="465" spans="1:26" ht="18" customHeight="1" x14ac:dyDescent="0.25">
      <c r="A465" s="68">
        <f>A464+1</f>
        <v>404</v>
      </c>
      <c r="B465" s="229" t="s">
        <v>506</v>
      </c>
      <c r="C465" s="68">
        <v>1983</v>
      </c>
      <c r="D465" s="68"/>
      <c r="E465" s="68"/>
      <c r="F465" s="63">
        <v>3836</v>
      </c>
      <c r="G465" s="63">
        <v>3381.4</v>
      </c>
      <c r="H465" s="49">
        <f>I465+J465+K465+L465+M465+N465+O465</f>
        <v>3626382.43</v>
      </c>
      <c r="I465" s="48">
        <v>0</v>
      </c>
      <c r="J465" s="48">
        <v>0</v>
      </c>
      <c r="K465" s="69">
        <f>ROUND(1072.45*G465,2)-O465</f>
        <v>3529122.1100000003</v>
      </c>
      <c r="L465" s="48">
        <v>0</v>
      </c>
      <c r="M465" s="48">
        <v>0</v>
      </c>
      <c r="N465" s="48">
        <v>0</v>
      </c>
      <c r="O465" s="48">
        <v>97260.32</v>
      </c>
      <c r="P465" s="48">
        <v>0</v>
      </c>
      <c r="Q465" s="48">
        <v>0</v>
      </c>
      <c r="R465" s="48">
        <v>0</v>
      </c>
      <c r="S465" s="94">
        <f>H465</f>
        <v>3626382.43</v>
      </c>
      <c r="T465" s="374">
        <v>2017</v>
      </c>
      <c r="U465" s="374">
        <v>2017</v>
      </c>
      <c r="V465" s="374">
        <v>1</v>
      </c>
      <c r="W465" s="259" t="s">
        <v>345</v>
      </c>
      <c r="X465" s="54">
        <v>5</v>
      </c>
    </row>
    <row r="466" spans="1:26" ht="18" customHeight="1" x14ac:dyDescent="0.25">
      <c r="A466" s="417" t="s">
        <v>257</v>
      </c>
      <c r="B466" s="423"/>
      <c r="C466" s="52"/>
      <c r="D466" s="52"/>
      <c r="E466" s="192"/>
      <c r="F466" s="93">
        <f>SUM(F464:F465)</f>
        <v>4854.3</v>
      </c>
      <c r="G466" s="93">
        <f t="shared" ref="G466:H466" si="174">SUM(G464:G465)</f>
        <v>3990.2</v>
      </c>
      <c r="H466" s="45">
        <f t="shared" si="174"/>
        <v>4269366.55</v>
      </c>
      <c r="I466" s="45">
        <f t="shared" ref="I466" si="175">SUM(I464:I465)</f>
        <v>0</v>
      </c>
      <c r="J466" s="45">
        <f t="shared" ref="J466" si="176">SUM(J464:J465)</f>
        <v>0</v>
      </c>
      <c r="K466" s="45">
        <f t="shared" ref="K466" si="177">SUM(K464:K465)</f>
        <v>4135642.1500000004</v>
      </c>
      <c r="L466" s="45">
        <f t="shared" ref="L466" si="178">SUM(L464:L465)</f>
        <v>0</v>
      </c>
      <c r="M466" s="45">
        <f t="shared" ref="M466" si="179">SUM(M464:M465)</f>
        <v>0</v>
      </c>
      <c r="N466" s="45">
        <f t="shared" ref="N466" si="180">SUM(N464:N465)</f>
        <v>0</v>
      </c>
      <c r="O466" s="45">
        <f t="shared" ref="O466" si="181">SUM(O464:O465)</f>
        <v>133724.40000000002</v>
      </c>
      <c r="P466" s="45">
        <f t="shared" ref="P466" si="182">SUM(P464:P465)</f>
        <v>0</v>
      </c>
      <c r="Q466" s="45">
        <f t="shared" ref="Q466" si="183">SUM(Q464:Q465)</f>
        <v>0</v>
      </c>
      <c r="R466" s="45">
        <f t="shared" ref="R466" si="184">SUM(R464:R465)</f>
        <v>0</v>
      </c>
      <c r="S466" s="45">
        <f t="shared" ref="S466" si="185">SUM(S464:S465)</f>
        <v>4269366.55</v>
      </c>
      <c r="T466" s="21" t="s">
        <v>112</v>
      </c>
      <c r="U466" s="21" t="s">
        <v>112</v>
      </c>
      <c r="V466" s="3"/>
    </row>
    <row r="467" spans="1:26" ht="18" customHeight="1" x14ac:dyDescent="0.25">
      <c r="A467" s="419" t="s">
        <v>338</v>
      </c>
      <c r="B467" s="420"/>
      <c r="C467" s="420"/>
      <c r="D467" s="420"/>
      <c r="E467" s="421"/>
      <c r="F467" s="420"/>
      <c r="G467" s="420"/>
      <c r="H467" s="420"/>
      <c r="I467" s="420"/>
      <c r="J467" s="420"/>
      <c r="K467" s="420"/>
      <c r="L467" s="420"/>
      <c r="M467" s="420"/>
      <c r="N467" s="420"/>
      <c r="O467" s="420"/>
      <c r="P467" s="420"/>
      <c r="Q467" s="420"/>
      <c r="R467" s="420"/>
      <c r="S467" s="422"/>
      <c r="T467" s="22"/>
      <c r="U467" s="22"/>
      <c r="V467" s="22"/>
    </row>
    <row r="468" spans="1:26" ht="18" customHeight="1" x14ac:dyDescent="0.25">
      <c r="A468" s="46">
        <f>A465+1</f>
        <v>405</v>
      </c>
      <c r="B468" s="412" t="s">
        <v>339</v>
      </c>
      <c r="C468" s="46">
        <v>1971</v>
      </c>
      <c r="D468" s="22"/>
      <c r="E468" s="22"/>
      <c r="F468" s="62">
        <v>3419.5</v>
      </c>
      <c r="G468" s="63">
        <v>3349.84</v>
      </c>
      <c r="H468" s="49">
        <f>I468+J468+K468+L468+M468+N468+O468</f>
        <v>3834762.84</v>
      </c>
      <c r="I468" s="48">
        <v>0</v>
      </c>
      <c r="J468" s="48">
        <v>0</v>
      </c>
      <c r="K468" s="48">
        <v>0</v>
      </c>
      <c r="L468" s="48">
        <v>0</v>
      </c>
      <c r="M468" s="48">
        <f>ROUND(1144.76*G468,2)-O468</f>
        <v>3701735.54</v>
      </c>
      <c r="N468" s="48">
        <v>0</v>
      </c>
      <c r="O468" s="48">
        <v>133027.29999999999</v>
      </c>
      <c r="P468" s="48">
        <v>0</v>
      </c>
      <c r="Q468" s="48">
        <v>0</v>
      </c>
      <c r="R468" s="48">
        <v>0</v>
      </c>
      <c r="S468" s="91">
        <f>H468</f>
        <v>3834762.84</v>
      </c>
      <c r="T468" s="374">
        <v>2017</v>
      </c>
      <c r="U468" s="374">
        <v>2017</v>
      </c>
      <c r="V468" s="374">
        <v>1</v>
      </c>
      <c r="W468" s="255" t="s">
        <v>142</v>
      </c>
      <c r="X468" s="258">
        <v>5</v>
      </c>
    </row>
    <row r="469" spans="1:26" ht="18" customHeight="1" x14ac:dyDescent="0.25">
      <c r="A469" s="417" t="s">
        <v>257</v>
      </c>
      <c r="B469" s="423"/>
      <c r="C469" s="52"/>
      <c r="D469" s="52"/>
      <c r="E469" s="192"/>
      <c r="F469" s="64">
        <f t="shared" ref="F469:O469" si="186">SUM(F468:F468)</f>
        <v>3419.5</v>
      </c>
      <c r="G469" s="93">
        <f t="shared" si="186"/>
        <v>3349.84</v>
      </c>
      <c r="H469" s="51">
        <f t="shared" si="186"/>
        <v>3834762.84</v>
      </c>
      <c r="I469" s="45">
        <f t="shared" si="186"/>
        <v>0</v>
      </c>
      <c r="J469" s="45">
        <f t="shared" si="186"/>
        <v>0</v>
      </c>
      <c r="K469" s="45">
        <f t="shared" si="186"/>
        <v>0</v>
      </c>
      <c r="L469" s="45">
        <f t="shared" si="186"/>
        <v>0</v>
      </c>
      <c r="M469" s="45">
        <f t="shared" si="186"/>
        <v>3701735.54</v>
      </c>
      <c r="N469" s="45">
        <f t="shared" si="186"/>
        <v>0</v>
      </c>
      <c r="O469" s="45">
        <f t="shared" si="186"/>
        <v>133027.29999999999</v>
      </c>
      <c r="P469" s="45">
        <f>SUM(P468:P468)</f>
        <v>0</v>
      </c>
      <c r="Q469" s="45">
        <f>SUM(Q468:Q468)</f>
        <v>0</v>
      </c>
      <c r="R469" s="45">
        <f>SUM(R468:R468)</f>
        <v>0</v>
      </c>
      <c r="S469" s="93">
        <f>SUM(S468:S468)</f>
        <v>3834762.84</v>
      </c>
      <c r="T469" s="21" t="s">
        <v>112</v>
      </c>
      <c r="U469" s="21" t="s">
        <v>112</v>
      </c>
      <c r="V469" s="3"/>
      <c r="W469" s="260"/>
    </row>
    <row r="470" spans="1:26" ht="18" customHeight="1" x14ac:dyDescent="0.25">
      <c r="A470" s="419" t="s">
        <v>457</v>
      </c>
      <c r="B470" s="420"/>
      <c r="C470" s="420"/>
      <c r="D470" s="420"/>
      <c r="E470" s="421"/>
      <c r="F470" s="420"/>
      <c r="G470" s="420"/>
      <c r="H470" s="420"/>
      <c r="I470" s="420"/>
      <c r="J470" s="420"/>
      <c r="K470" s="420"/>
      <c r="L470" s="420"/>
      <c r="M470" s="420"/>
      <c r="N470" s="420"/>
      <c r="O470" s="420"/>
      <c r="P470" s="420"/>
      <c r="Q470" s="420"/>
      <c r="R470" s="420"/>
      <c r="S470" s="422"/>
      <c r="T470" s="21"/>
      <c r="U470" s="21"/>
      <c r="V470" s="3"/>
      <c r="W470" s="260"/>
    </row>
    <row r="471" spans="1:26" s="23" customFormat="1" ht="18" customHeight="1" x14ac:dyDescent="0.25">
      <c r="A471" s="46">
        <f>A468+1</f>
        <v>406</v>
      </c>
      <c r="B471" s="261" t="s">
        <v>507</v>
      </c>
      <c r="C471" s="46">
        <v>1971</v>
      </c>
      <c r="D471" s="46"/>
      <c r="E471" s="176"/>
      <c r="F471" s="61">
        <v>2085.6</v>
      </c>
      <c r="G471" s="91">
        <v>1937.4</v>
      </c>
      <c r="H471" s="49">
        <f>I471+J471+K471+L471+M471+N471+O471</f>
        <v>2046185.0099999998</v>
      </c>
      <c r="I471" s="49">
        <v>0</v>
      </c>
      <c r="J471" s="49">
        <v>0</v>
      </c>
      <c r="K471" s="48">
        <f>ROUND(1056.15*G471,2)-O471</f>
        <v>1978817.63</v>
      </c>
      <c r="L471" s="49">
        <v>0</v>
      </c>
      <c r="M471" s="49">
        <v>0</v>
      </c>
      <c r="N471" s="49">
        <v>0</v>
      </c>
      <c r="O471" s="49">
        <v>67367.38</v>
      </c>
      <c r="P471" s="49">
        <v>0</v>
      </c>
      <c r="Q471" s="49">
        <v>0</v>
      </c>
      <c r="R471" s="49">
        <v>0</v>
      </c>
      <c r="S471" s="91">
        <f>H471</f>
        <v>2046185.0099999998</v>
      </c>
      <c r="T471" s="374">
        <v>2017</v>
      </c>
      <c r="U471" s="374">
        <v>2017</v>
      </c>
      <c r="V471" s="374">
        <v>1</v>
      </c>
      <c r="W471" s="255" t="s">
        <v>142</v>
      </c>
      <c r="X471" s="258">
        <v>5</v>
      </c>
      <c r="Y471" s="23" t="str">
        <f>[3]Реестр!$AX$5799</f>
        <v>плоская</v>
      </c>
      <c r="Z471" s="23" t="str">
        <f>[3]Реестр!$AX$5774</f>
        <v>скатная</v>
      </c>
    </row>
    <row r="472" spans="1:26" s="23" customFormat="1" ht="18" customHeight="1" x14ac:dyDescent="0.25">
      <c r="A472" s="46">
        <f>A471+1</f>
        <v>407</v>
      </c>
      <c r="B472" s="261" t="s">
        <v>508</v>
      </c>
      <c r="C472" s="46">
        <v>1971</v>
      </c>
      <c r="D472" s="46"/>
      <c r="E472" s="176"/>
      <c r="F472" s="61">
        <v>2246.1999999999998</v>
      </c>
      <c r="G472" s="91">
        <v>2096.3000000000002</v>
      </c>
      <c r="H472" s="49">
        <f>I472+J472+K472+L472+M472+N472+O472</f>
        <v>2214007.25</v>
      </c>
      <c r="I472" s="49">
        <v>0</v>
      </c>
      <c r="J472" s="49">
        <v>0</v>
      </c>
      <c r="K472" s="48">
        <f>ROUND(1056.15*G472,2)-O472</f>
        <v>2152669.67</v>
      </c>
      <c r="L472" s="49">
        <v>0</v>
      </c>
      <c r="M472" s="49">
        <v>0</v>
      </c>
      <c r="N472" s="49">
        <v>0</v>
      </c>
      <c r="O472" s="49">
        <v>61337.58</v>
      </c>
      <c r="P472" s="49">
        <v>0</v>
      </c>
      <c r="Q472" s="49">
        <v>0</v>
      </c>
      <c r="R472" s="49">
        <v>0</v>
      </c>
      <c r="S472" s="91">
        <f>H472</f>
        <v>2214007.25</v>
      </c>
      <c r="T472" s="374">
        <v>2017</v>
      </c>
      <c r="U472" s="374">
        <v>2017</v>
      </c>
      <c r="V472" s="374">
        <v>2</v>
      </c>
      <c r="W472" s="255" t="s">
        <v>142</v>
      </c>
      <c r="X472" s="258">
        <v>5</v>
      </c>
      <c r="Y472" s="23" t="str">
        <f>[3]Реестр!$AX$5799</f>
        <v>плоская</v>
      </c>
    </row>
    <row r="473" spans="1:26" ht="18" customHeight="1" x14ac:dyDescent="0.25">
      <c r="A473" s="417" t="s">
        <v>257</v>
      </c>
      <c r="B473" s="423"/>
      <c r="C473" s="52"/>
      <c r="D473" s="52"/>
      <c r="E473" s="192"/>
      <c r="F473" s="64">
        <f t="shared" ref="F473:O473" si="187">SUM(F471:F472)</f>
        <v>4331.7999999999993</v>
      </c>
      <c r="G473" s="64">
        <f t="shared" si="187"/>
        <v>4033.7000000000003</v>
      </c>
      <c r="H473" s="51">
        <f t="shared" si="187"/>
        <v>4260192.26</v>
      </c>
      <c r="I473" s="45">
        <f t="shared" si="187"/>
        <v>0</v>
      </c>
      <c r="J473" s="45">
        <f t="shared" si="187"/>
        <v>0</v>
      </c>
      <c r="K473" s="45">
        <f t="shared" si="187"/>
        <v>4131487.3</v>
      </c>
      <c r="L473" s="45">
        <f t="shared" si="187"/>
        <v>0</v>
      </c>
      <c r="M473" s="45">
        <f t="shared" si="187"/>
        <v>0</v>
      </c>
      <c r="N473" s="45">
        <f t="shared" si="187"/>
        <v>0</v>
      </c>
      <c r="O473" s="45">
        <f t="shared" si="187"/>
        <v>128704.96000000001</v>
      </c>
      <c r="P473" s="45">
        <f>SUM(P471:P472)</f>
        <v>0</v>
      </c>
      <c r="Q473" s="45">
        <f>SUM(Q471:Q472)</f>
        <v>0</v>
      </c>
      <c r="R473" s="45">
        <f>SUM(R471:R472)</f>
        <v>0</v>
      </c>
      <c r="S473" s="93">
        <f>SUM(S471:S472)</f>
        <v>4260192.26</v>
      </c>
      <c r="T473" s="21" t="s">
        <v>112</v>
      </c>
      <c r="U473" s="21" t="s">
        <v>112</v>
      </c>
      <c r="V473" s="3"/>
      <c r="W473" s="260"/>
    </row>
    <row r="474" spans="1:26" ht="18" customHeight="1" x14ac:dyDescent="0.25">
      <c r="A474" s="417" t="s">
        <v>260</v>
      </c>
      <c r="B474" s="418"/>
      <c r="C474" s="52"/>
      <c r="D474" s="52"/>
      <c r="E474" s="192"/>
      <c r="F474" s="93">
        <f t="shared" ref="F474:O474" si="188">F469+F466+F462+F454+F446+F442+F432+F428+F473</f>
        <v>71734.98</v>
      </c>
      <c r="G474" s="93">
        <f t="shared" si="188"/>
        <v>63027.939999999995</v>
      </c>
      <c r="H474" s="93">
        <f t="shared" si="188"/>
        <v>74455367.762000009</v>
      </c>
      <c r="I474" s="93">
        <f t="shared" si="188"/>
        <v>6269788.5300000003</v>
      </c>
      <c r="J474" s="93">
        <f t="shared" si="188"/>
        <v>5923713.2400000002</v>
      </c>
      <c r="K474" s="93">
        <f t="shared" si="188"/>
        <v>46429119.249999993</v>
      </c>
      <c r="L474" s="93">
        <f t="shared" si="188"/>
        <v>0</v>
      </c>
      <c r="M474" s="93">
        <f t="shared" si="188"/>
        <v>13354069.942</v>
      </c>
      <c r="N474" s="93">
        <f t="shared" si="188"/>
        <v>0</v>
      </c>
      <c r="O474" s="93">
        <f t="shared" si="188"/>
        <v>2478676.7999999998</v>
      </c>
      <c r="P474" s="45">
        <f>P469+P466+P462+P454+P446+P442+P432+P428+P473</f>
        <v>0</v>
      </c>
      <c r="Q474" s="45">
        <f>Q469+Q466+Q462+Q454+Q446+Q442+Q432+Q428+Q473</f>
        <v>0</v>
      </c>
      <c r="R474" s="45">
        <f>R469+R466+R462+R454+R446+R442+R432+R428+R473</f>
        <v>0</v>
      </c>
      <c r="S474" s="93">
        <f>S469+S466+S462+S454+S446+S442+S432+S428+S473</f>
        <v>74455367.762000009</v>
      </c>
      <c r="T474" s="21" t="s">
        <v>112</v>
      </c>
      <c r="U474" s="21" t="s">
        <v>112</v>
      </c>
      <c r="V474" s="3"/>
    </row>
    <row r="475" spans="1:26" ht="18" customHeight="1" x14ac:dyDescent="0.25">
      <c r="A475" s="419" t="s">
        <v>82</v>
      </c>
      <c r="B475" s="420"/>
      <c r="C475" s="420"/>
      <c r="D475" s="420"/>
      <c r="E475" s="421"/>
      <c r="F475" s="420"/>
      <c r="G475" s="420"/>
      <c r="H475" s="420"/>
      <c r="I475" s="420"/>
      <c r="J475" s="420"/>
      <c r="K475" s="420"/>
      <c r="L475" s="420"/>
      <c r="M475" s="420"/>
      <c r="N475" s="420"/>
      <c r="O475" s="420"/>
      <c r="P475" s="420"/>
      <c r="Q475" s="420"/>
      <c r="R475" s="420"/>
      <c r="S475" s="422"/>
      <c r="T475" s="22"/>
      <c r="U475" s="22"/>
      <c r="V475" s="22"/>
    </row>
    <row r="476" spans="1:26" ht="18" customHeight="1" x14ac:dyDescent="0.25">
      <c r="A476" s="419" t="s">
        <v>83</v>
      </c>
      <c r="B476" s="420"/>
      <c r="C476" s="420"/>
      <c r="D476" s="420"/>
      <c r="E476" s="421"/>
      <c r="F476" s="420"/>
      <c r="G476" s="420"/>
      <c r="H476" s="420"/>
      <c r="I476" s="420"/>
      <c r="J476" s="420"/>
      <c r="K476" s="420"/>
      <c r="L476" s="420"/>
      <c r="M476" s="420"/>
      <c r="N476" s="420"/>
      <c r="O476" s="420"/>
      <c r="P476" s="420"/>
      <c r="Q476" s="420"/>
      <c r="R476" s="420"/>
      <c r="S476" s="422"/>
      <c r="T476" s="22"/>
      <c r="U476" s="22"/>
      <c r="V476" s="22"/>
    </row>
    <row r="477" spans="1:26" ht="18" customHeight="1" x14ac:dyDescent="0.25">
      <c r="A477" s="46">
        <f>A472+1</f>
        <v>408</v>
      </c>
      <c r="B477" s="262" t="s">
        <v>340</v>
      </c>
      <c r="C477" s="263">
        <v>1969</v>
      </c>
      <c r="D477" s="46"/>
      <c r="E477" s="176"/>
      <c r="F477" s="61">
        <v>2145.6</v>
      </c>
      <c r="G477" s="126">
        <v>1813.6</v>
      </c>
      <c r="H477" s="49">
        <f>I477+J477+K477+L477+M477+N477+O477</f>
        <v>874191.47</v>
      </c>
      <c r="I477" s="264">
        <f>ROUND((191.67+290.35)*G477,2)-O477</f>
        <v>821739.98</v>
      </c>
      <c r="J477" s="48">
        <v>0</v>
      </c>
      <c r="K477" s="69">
        <v>0</v>
      </c>
      <c r="L477" s="48">
        <v>0</v>
      </c>
      <c r="M477" s="69">
        <v>0</v>
      </c>
      <c r="N477" s="265">
        <v>0</v>
      </c>
      <c r="O477" s="48">
        <v>52451.49</v>
      </c>
      <c r="P477" s="48">
        <v>0</v>
      </c>
      <c r="Q477" s="48">
        <v>0</v>
      </c>
      <c r="R477" s="48">
        <v>0</v>
      </c>
      <c r="S477" s="91">
        <f>H477</f>
        <v>874191.47</v>
      </c>
      <c r="T477" s="374">
        <v>2017</v>
      </c>
      <c r="U477" s="374">
        <v>2017</v>
      </c>
      <c r="V477" s="132">
        <v>1</v>
      </c>
      <c r="W477" s="262" t="s">
        <v>142</v>
      </c>
      <c r="X477" s="263">
        <v>5</v>
      </c>
    </row>
    <row r="478" spans="1:26" ht="18" customHeight="1" x14ac:dyDescent="0.25">
      <c r="A478" s="46">
        <f>A477+1</f>
        <v>409</v>
      </c>
      <c r="B478" s="138" t="s">
        <v>84</v>
      </c>
      <c r="C478" s="137" t="s">
        <v>63</v>
      </c>
      <c r="D478" s="22"/>
      <c r="E478" s="22"/>
      <c r="F478" s="61">
        <v>683.2</v>
      </c>
      <c r="G478" s="126">
        <v>634.9</v>
      </c>
      <c r="H478" s="49">
        <f>I478+J478+K478+L478+M478+N478+O478</f>
        <v>3837075.3</v>
      </c>
      <c r="I478" s="264">
        <f>ROUND(332.83*G478,2)-8611.93</f>
        <v>202701.84</v>
      </c>
      <c r="J478" s="48">
        <v>0</v>
      </c>
      <c r="K478" s="48">
        <f>ROUND(4211.64*G478,2)-108975.66</f>
        <v>2564994.58</v>
      </c>
      <c r="L478" s="48">
        <v>0</v>
      </c>
      <c r="M478" s="48">
        <f>ROUND(1346.77*G478,2)-34847.51</f>
        <v>820216.76</v>
      </c>
      <c r="N478" s="48">
        <f>ROUND(152.35*G478,2)-3942.04</f>
        <v>92784.98000000001</v>
      </c>
      <c r="O478" s="48">
        <v>156377.14000000001</v>
      </c>
      <c r="P478" s="48">
        <v>0</v>
      </c>
      <c r="Q478" s="48">
        <v>0</v>
      </c>
      <c r="R478" s="48">
        <v>0</v>
      </c>
      <c r="S478" s="91">
        <f>H478</f>
        <v>3837075.3</v>
      </c>
      <c r="T478" s="374">
        <v>2017</v>
      </c>
      <c r="U478" s="374">
        <v>2017</v>
      </c>
      <c r="V478" s="374">
        <v>2</v>
      </c>
      <c r="W478" s="138" t="s">
        <v>142</v>
      </c>
      <c r="X478" s="137" t="s">
        <v>16</v>
      </c>
    </row>
    <row r="479" spans="1:26" ht="18" customHeight="1" x14ac:dyDescent="0.25">
      <c r="A479" s="417" t="s">
        <v>257</v>
      </c>
      <c r="B479" s="423"/>
      <c r="C479" s="52"/>
      <c r="D479" s="52"/>
      <c r="E479" s="192"/>
      <c r="F479" s="64">
        <f t="shared" ref="F479:O479" si="189">SUM(F477:F478)</f>
        <v>2828.8</v>
      </c>
      <c r="G479" s="64">
        <f t="shared" si="189"/>
        <v>2448.5</v>
      </c>
      <c r="H479" s="51">
        <f t="shared" si="189"/>
        <v>4711266.7699999996</v>
      </c>
      <c r="I479" s="45">
        <f t="shared" si="189"/>
        <v>1024441.82</v>
      </c>
      <c r="J479" s="45">
        <f t="shared" si="189"/>
        <v>0</v>
      </c>
      <c r="K479" s="45">
        <f t="shared" si="189"/>
        <v>2564994.58</v>
      </c>
      <c r="L479" s="45">
        <f t="shared" si="189"/>
        <v>0</v>
      </c>
      <c r="M479" s="45">
        <f t="shared" si="189"/>
        <v>820216.76</v>
      </c>
      <c r="N479" s="45">
        <f t="shared" si="189"/>
        <v>92784.98000000001</v>
      </c>
      <c r="O479" s="45">
        <f t="shared" si="189"/>
        <v>208828.63</v>
      </c>
      <c r="P479" s="45">
        <f>SUM(P477:P478)</f>
        <v>0</v>
      </c>
      <c r="Q479" s="45">
        <f>SUM(Q477:Q478)</f>
        <v>0</v>
      </c>
      <c r="R479" s="45">
        <f>SUM(R477:R478)</f>
        <v>0</v>
      </c>
      <c r="S479" s="93">
        <f>SUM(S477:S478)</f>
        <v>4711266.7699999996</v>
      </c>
      <c r="T479" s="21" t="s">
        <v>112</v>
      </c>
      <c r="U479" s="21" t="s">
        <v>112</v>
      </c>
      <c r="V479" s="3"/>
    </row>
    <row r="480" spans="1:26" ht="18" customHeight="1" x14ac:dyDescent="0.25">
      <c r="A480" s="419" t="s">
        <v>85</v>
      </c>
      <c r="B480" s="420"/>
      <c r="C480" s="420"/>
      <c r="D480" s="420"/>
      <c r="E480" s="421"/>
      <c r="F480" s="420"/>
      <c r="G480" s="420"/>
      <c r="H480" s="420"/>
      <c r="I480" s="420"/>
      <c r="J480" s="420"/>
      <c r="K480" s="420"/>
      <c r="L480" s="420"/>
      <c r="M480" s="420"/>
      <c r="N480" s="420"/>
      <c r="O480" s="420"/>
      <c r="P480" s="420"/>
      <c r="Q480" s="420"/>
      <c r="R480" s="420"/>
      <c r="S480" s="422"/>
      <c r="T480" s="22"/>
      <c r="U480" s="22"/>
      <c r="V480" s="22"/>
    </row>
    <row r="481" spans="1:25" s="111" customFormat="1" ht="18" customHeight="1" x14ac:dyDescent="0.25">
      <c r="A481" s="374">
        <f>A478+1</f>
        <v>410</v>
      </c>
      <c r="B481" s="65" t="s">
        <v>601</v>
      </c>
      <c r="C481" s="352" t="s">
        <v>19</v>
      </c>
      <c r="D481" s="374"/>
      <c r="E481" s="374"/>
      <c r="F481" s="224">
        <v>1247.3</v>
      </c>
      <c r="G481" s="224">
        <v>1125</v>
      </c>
      <c r="H481" s="305">
        <f>I481+J481+K481+L481+M481+N481+O481</f>
        <v>4246301.25</v>
      </c>
      <c r="I481" s="69">
        <f>G481*687.2</f>
        <v>773100</v>
      </c>
      <c r="J481" s="69">
        <v>0</v>
      </c>
      <c r="K481" s="69">
        <f>G481*1724.9</f>
        <v>1940512.5</v>
      </c>
      <c r="L481" s="69">
        <v>0</v>
      </c>
      <c r="M481" s="69">
        <f>G481*1082</f>
        <v>1217250</v>
      </c>
      <c r="N481" s="69">
        <f>G481*280.39</f>
        <v>315438.75</v>
      </c>
      <c r="O481" s="69">
        <v>0</v>
      </c>
      <c r="P481" s="69">
        <v>0</v>
      </c>
      <c r="Q481" s="69">
        <v>0</v>
      </c>
      <c r="R481" s="69">
        <v>0</v>
      </c>
      <c r="S481" s="305">
        <f>H481</f>
        <v>4246301.25</v>
      </c>
      <c r="T481" s="374">
        <v>2016</v>
      </c>
      <c r="U481" s="374">
        <v>2017</v>
      </c>
      <c r="V481" s="381">
        <v>1</v>
      </c>
    </row>
    <row r="482" spans="1:25" s="111" customFormat="1" ht="18" customHeight="1" x14ac:dyDescent="0.25">
      <c r="A482" s="374">
        <f>A481+1</f>
        <v>411</v>
      </c>
      <c r="B482" s="65" t="s">
        <v>602</v>
      </c>
      <c r="C482" s="352" t="s">
        <v>19</v>
      </c>
      <c r="D482" s="374"/>
      <c r="E482" s="374"/>
      <c r="F482" s="224">
        <v>1598.3</v>
      </c>
      <c r="G482" s="224">
        <v>1471.9</v>
      </c>
      <c r="H482" s="305">
        <f>I482+J482+K482+L482+M482+N482+O482</f>
        <v>5555671.8310000012</v>
      </c>
      <c r="I482" s="69">
        <f>G482*687.2</f>
        <v>1011489.6800000002</v>
      </c>
      <c r="J482" s="69">
        <v>0</v>
      </c>
      <c r="K482" s="69">
        <f>G482*1724.9</f>
        <v>2538880.3100000005</v>
      </c>
      <c r="L482" s="69">
        <v>0</v>
      </c>
      <c r="M482" s="69">
        <f>G482*1082</f>
        <v>1592595.8</v>
      </c>
      <c r="N482" s="69">
        <f>G482*280.39</f>
        <v>412706.04100000003</v>
      </c>
      <c r="O482" s="69">
        <v>0</v>
      </c>
      <c r="P482" s="69">
        <v>0</v>
      </c>
      <c r="Q482" s="69">
        <v>0</v>
      </c>
      <c r="R482" s="69">
        <v>0</v>
      </c>
      <c r="S482" s="305">
        <f>H482</f>
        <v>5555671.8310000012</v>
      </c>
      <c r="T482" s="374">
        <v>2016</v>
      </c>
      <c r="U482" s="374">
        <v>2017</v>
      </c>
      <c r="V482" s="381">
        <f>V481+1</f>
        <v>2</v>
      </c>
    </row>
    <row r="483" spans="1:25" s="23" customFormat="1" ht="18" customHeight="1" x14ac:dyDescent="0.3">
      <c r="A483" s="374">
        <f t="shared" ref="A483:A485" si="190">A482+1</f>
        <v>412</v>
      </c>
      <c r="B483" s="127" t="s">
        <v>341</v>
      </c>
      <c r="C483" s="128">
        <v>1963</v>
      </c>
      <c r="D483" s="128"/>
      <c r="E483" s="194"/>
      <c r="F483" s="129">
        <v>1145.4000000000001</v>
      </c>
      <c r="G483" s="129">
        <v>1094.8</v>
      </c>
      <c r="H483" s="49">
        <f>I483+J483+K483+L483+M483+N483+O483</f>
        <v>4895671.9000000004</v>
      </c>
      <c r="I483" s="48">
        <f>ROUND((727.06+191.67+290.35+292.97)*G483,2)-65377.86</f>
        <v>1579066.48</v>
      </c>
      <c r="J483" s="48">
        <v>0</v>
      </c>
      <c r="K483" s="69">
        <f>ROUND(1824.94*G483,2)-79431.89</f>
        <v>1918512.4200000002</v>
      </c>
      <c r="L483" s="48">
        <v>0</v>
      </c>
      <c r="M483" s="48">
        <f>ROUND(1144.76*G483,2)-49826.54</f>
        <v>1203456.71</v>
      </c>
      <c r="N483" s="48">
        <v>0</v>
      </c>
      <c r="O483" s="48">
        <v>194636.29</v>
      </c>
      <c r="P483" s="48">
        <v>0</v>
      </c>
      <c r="Q483" s="48">
        <v>0</v>
      </c>
      <c r="R483" s="48">
        <v>0</v>
      </c>
      <c r="S483" s="91">
        <f>H483</f>
        <v>4895671.9000000004</v>
      </c>
      <c r="T483" s="374">
        <v>2017</v>
      </c>
      <c r="U483" s="374">
        <v>2017</v>
      </c>
      <c r="V483" s="374">
        <v>1</v>
      </c>
      <c r="W483" s="127" t="s">
        <v>342</v>
      </c>
      <c r="X483" s="130">
        <v>3</v>
      </c>
      <c r="Y483" s="23" t="str">
        <f>[3]Реестр!$AX$5773</f>
        <v>скатная</v>
      </c>
    </row>
    <row r="484" spans="1:25" s="23" customFormat="1" ht="18" customHeight="1" x14ac:dyDescent="0.3">
      <c r="A484" s="374">
        <f t="shared" si="190"/>
        <v>413</v>
      </c>
      <c r="B484" s="127" t="s">
        <v>346</v>
      </c>
      <c r="C484" s="128">
        <v>1961</v>
      </c>
      <c r="D484" s="128"/>
      <c r="E484" s="194"/>
      <c r="F484" s="129">
        <v>1179.3</v>
      </c>
      <c r="G484" s="129">
        <v>1106.5</v>
      </c>
      <c r="H484" s="49">
        <f>I484+J484+K484+L484+M484+N484+O484</f>
        <v>4947991.3800000008</v>
      </c>
      <c r="I484" s="48">
        <f>ROUND((727.06+191.67+290.35+292.97)*G484,2)-65027.08</f>
        <v>1596991.25</v>
      </c>
      <c r="J484" s="48">
        <v>0</v>
      </c>
      <c r="K484" s="69">
        <f>ROUND(1824.94*G484,2)-79005.7</f>
        <v>1940290.4100000001</v>
      </c>
      <c r="L484" s="48">
        <v>0</v>
      </c>
      <c r="M484" s="48">
        <f>ROUND(1144.76*G484,2)-49559.2</f>
        <v>1217117.74</v>
      </c>
      <c r="N484" s="48">
        <v>0</v>
      </c>
      <c r="O484" s="48">
        <v>193591.98</v>
      </c>
      <c r="P484" s="48">
        <v>0</v>
      </c>
      <c r="Q484" s="48">
        <v>0</v>
      </c>
      <c r="R484" s="48">
        <v>0</v>
      </c>
      <c r="S484" s="91">
        <f>H484</f>
        <v>4947991.3800000008</v>
      </c>
      <c r="T484" s="374">
        <v>2017</v>
      </c>
      <c r="U484" s="374">
        <v>2017</v>
      </c>
      <c r="V484" s="374">
        <f>V483+1</f>
        <v>2</v>
      </c>
      <c r="W484" s="127" t="s">
        <v>342</v>
      </c>
      <c r="X484" s="130">
        <v>3</v>
      </c>
      <c r="Y484" s="23" t="str">
        <f>[3]Реестр!$AX$5774</f>
        <v>скатная</v>
      </c>
    </row>
    <row r="485" spans="1:25" s="23" customFormat="1" ht="18" customHeight="1" x14ac:dyDescent="0.3">
      <c r="A485" s="374">
        <f t="shared" si="190"/>
        <v>414</v>
      </c>
      <c r="B485" s="266" t="s">
        <v>116</v>
      </c>
      <c r="C485" s="137">
        <v>1977</v>
      </c>
      <c r="D485" s="137"/>
      <c r="E485" s="267"/>
      <c r="F485" s="268">
        <v>4469.2</v>
      </c>
      <c r="G485" s="268">
        <v>3871.1</v>
      </c>
      <c r="H485" s="49">
        <f>I485+J485+K485+L485+M485+N485+O485</f>
        <v>2724247.91</v>
      </c>
      <c r="I485" s="48">
        <v>0</v>
      </c>
      <c r="J485" s="48">
        <v>0</v>
      </c>
      <c r="K485" s="69">
        <f>ROUND(703.74*G485,2)-O485</f>
        <v>2655354.79</v>
      </c>
      <c r="L485" s="48">
        <v>0</v>
      </c>
      <c r="M485" s="48">
        <v>0</v>
      </c>
      <c r="N485" s="48">
        <v>0</v>
      </c>
      <c r="O485" s="48">
        <v>68893.119999999995</v>
      </c>
      <c r="P485" s="48">
        <v>0</v>
      </c>
      <c r="Q485" s="48">
        <v>0</v>
      </c>
      <c r="R485" s="48">
        <v>0</v>
      </c>
      <c r="S485" s="91">
        <f>H485</f>
        <v>2724247.91</v>
      </c>
      <c r="T485" s="374">
        <v>2017</v>
      </c>
      <c r="U485" s="374">
        <v>2017</v>
      </c>
      <c r="V485" s="374">
        <f t="shared" ref="V485" si="191">V484+1</f>
        <v>3</v>
      </c>
      <c r="W485" s="266" t="s">
        <v>343</v>
      </c>
      <c r="X485" s="269">
        <v>9</v>
      </c>
      <c r="Y485" s="23" t="str">
        <f>[3]Реестр!$AX$5799</f>
        <v>плоская</v>
      </c>
    </row>
    <row r="486" spans="1:25" ht="18" customHeight="1" x14ac:dyDescent="0.25">
      <c r="A486" s="417" t="s">
        <v>257</v>
      </c>
      <c r="B486" s="423"/>
      <c r="C486" s="46"/>
      <c r="D486" s="406"/>
      <c r="E486" s="407"/>
      <c r="F486" s="64">
        <f>SUM(F481:F485)</f>
        <v>9639.5</v>
      </c>
      <c r="G486" s="64">
        <f t="shared" ref="G486:H486" si="192">SUM(G481:G485)</f>
        <v>8669.2999999999993</v>
      </c>
      <c r="H486" s="45">
        <f t="shared" si="192"/>
        <v>22369884.271000002</v>
      </c>
      <c r="I486" s="45">
        <f t="shared" ref="I486" si="193">SUM(I481:I485)</f>
        <v>4960647.41</v>
      </c>
      <c r="J486" s="45">
        <f t="shared" ref="J486" si="194">SUM(J481:J485)</f>
        <v>0</v>
      </c>
      <c r="K486" s="45">
        <f t="shared" ref="K486" si="195">SUM(K481:K485)</f>
        <v>10993550.43</v>
      </c>
      <c r="L486" s="45">
        <f t="shared" ref="L486" si="196">SUM(L481:L485)</f>
        <v>0</v>
      </c>
      <c r="M486" s="45">
        <f t="shared" ref="M486" si="197">SUM(M481:M485)</f>
        <v>5230420.25</v>
      </c>
      <c r="N486" s="45">
        <f t="shared" ref="N486" si="198">SUM(N481:N485)</f>
        <v>728144.79099999997</v>
      </c>
      <c r="O486" s="45">
        <f t="shared" ref="O486" si="199">SUM(O481:O485)</f>
        <v>457121.39</v>
      </c>
      <c r="P486" s="45">
        <f t="shared" ref="P486" si="200">SUM(P481:P485)</f>
        <v>0</v>
      </c>
      <c r="Q486" s="45">
        <f t="shared" ref="Q486" si="201">SUM(Q481:Q485)</f>
        <v>0</v>
      </c>
      <c r="R486" s="45">
        <f t="shared" ref="R486" si="202">SUM(R481:R485)</f>
        <v>0</v>
      </c>
      <c r="S486" s="45">
        <f t="shared" ref="S486" si="203">SUM(S481:S485)</f>
        <v>22369884.271000002</v>
      </c>
      <c r="T486" s="21" t="s">
        <v>112</v>
      </c>
      <c r="U486" s="21" t="s">
        <v>112</v>
      </c>
      <c r="V486" s="3"/>
    </row>
    <row r="487" spans="1:25" ht="18" customHeight="1" x14ac:dyDescent="0.25">
      <c r="A487" s="417" t="s">
        <v>259</v>
      </c>
      <c r="B487" s="418"/>
      <c r="C487" s="52"/>
      <c r="D487" s="52"/>
      <c r="E487" s="192"/>
      <c r="F487" s="64">
        <f t="shared" ref="F487:O487" si="204">F479+F486</f>
        <v>12468.3</v>
      </c>
      <c r="G487" s="64">
        <f t="shared" si="204"/>
        <v>11117.8</v>
      </c>
      <c r="H487" s="51">
        <f t="shared" si="204"/>
        <v>27081151.041000001</v>
      </c>
      <c r="I487" s="51">
        <f t="shared" si="204"/>
        <v>5985089.2300000004</v>
      </c>
      <c r="J487" s="51">
        <f t="shared" si="204"/>
        <v>0</v>
      </c>
      <c r="K487" s="51">
        <f t="shared" si="204"/>
        <v>13558545.01</v>
      </c>
      <c r="L487" s="51">
        <f t="shared" si="204"/>
        <v>0</v>
      </c>
      <c r="M487" s="51">
        <f t="shared" si="204"/>
        <v>6050637.0099999998</v>
      </c>
      <c r="N487" s="51">
        <f t="shared" si="204"/>
        <v>820929.77099999995</v>
      </c>
      <c r="O487" s="51">
        <f t="shared" si="204"/>
        <v>665950.02</v>
      </c>
      <c r="P487" s="51">
        <f>P479+P486</f>
        <v>0</v>
      </c>
      <c r="Q487" s="51">
        <f>Q479+Q486</f>
        <v>0</v>
      </c>
      <c r="R487" s="51">
        <f>R479+R486</f>
        <v>0</v>
      </c>
      <c r="S487" s="93">
        <f>S479+S486</f>
        <v>27081151.041000001</v>
      </c>
      <c r="T487" s="21" t="s">
        <v>112</v>
      </c>
      <c r="U487" s="21" t="s">
        <v>112</v>
      </c>
      <c r="V487" s="3"/>
    </row>
    <row r="488" spans="1:25" ht="18" customHeight="1" x14ac:dyDescent="0.25">
      <c r="A488" s="419" t="s">
        <v>86</v>
      </c>
      <c r="B488" s="420"/>
      <c r="C488" s="420"/>
      <c r="D488" s="420"/>
      <c r="E488" s="421"/>
      <c r="F488" s="420"/>
      <c r="G488" s="420"/>
      <c r="H488" s="420"/>
      <c r="I488" s="420"/>
      <c r="J488" s="420"/>
      <c r="K488" s="420"/>
      <c r="L488" s="420"/>
      <c r="M488" s="420"/>
      <c r="N488" s="420"/>
      <c r="O488" s="420"/>
      <c r="P488" s="420"/>
      <c r="Q488" s="420"/>
      <c r="R488" s="420"/>
      <c r="S488" s="422"/>
      <c r="T488" s="22"/>
      <c r="U488" s="22"/>
      <c r="V488" s="22"/>
    </row>
    <row r="489" spans="1:25" ht="18" customHeight="1" x14ac:dyDescent="0.25">
      <c r="A489" s="419" t="s">
        <v>87</v>
      </c>
      <c r="B489" s="420"/>
      <c r="C489" s="420"/>
      <c r="D489" s="420"/>
      <c r="E489" s="421"/>
      <c r="F489" s="420"/>
      <c r="G489" s="420"/>
      <c r="H489" s="420"/>
      <c r="I489" s="420"/>
      <c r="J489" s="420"/>
      <c r="K489" s="420"/>
      <c r="L489" s="420"/>
      <c r="M489" s="420"/>
      <c r="N489" s="420"/>
      <c r="O489" s="420"/>
      <c r="P489" s="420"/>
      <c r="Q489" s="420"/>
      <c r="R489" s="420"/>
      <c r="S489" s="422"/>
      <c r="T489" s="22"/>
      <c r="U489" s="22"/>
      <c r="V489" s="22"/>
    </row>
    <row r="490" spans="1:25" s="111" customFormat="1" ht="18" customHeight="1" x14ac:dyDescent="0.25">
      <c r="A490" s="374">
        <f>A485+1</f>
        <v>415</v>
      </c>
      <c r="B490" s="65" t="s">
        <v>603</v>
      </c>
      <c r="C490" s="352" t="s">
        <v>19</v>
      </c>
      <c r="D490" s="374"/>
      <c r="E490" s="374"/>
      <c r="F490" s="224">
        <v>423</v>
      </c>
      <c r="G490" s="224">
        <v>383.7</v>
      </c>
      <c r="H490" s="305">
        <f>I490+J490+K490+L490+M490+N490+O490</f>
        <v>2641378.2970000003</v>
      </c>
      <c r="I490" s="69">
        <f>ROUND((690.32+716.06)*383.7,2)-37143.23</f>
        <v>502484.78</v>
      </c>
      <c r="J490" s="69">
        <v>0</v>
      </c>
      <c r="K490" s="69">
        <f>G490*4211.64-110368.36</f>
        <v>1505637.9080000001</v>
      </c>
      <c r="L490" s="69">
        <v>0</v>
      </c>
      <c r="M490" s="69">
        <f>G490*1346.77-35292.83</f>
        <v>481462.81899999996</v>
      </c>
      <c r="N490" s="69">
        <v>0</v>
      </c>
      <c r="O490" s="69">
        <v>151792.79</v>
      </c>
      <c r="P490" s="69">
        <v>0</v>
      </c>
      <c r="Q490" s="69">
        <v>0</v>
      </c>
      <c r="R490" s="69">
        <v>0</v>
      </c>
      <c r="S490" s="305">
        <f t="shared" ref="S490:S491" si="205">H490</f>
        <v>2641378.2970000003</v>
      </c>
      <c r="T490" s="374">
        <v>2016</v>
      </c>
      <c r="U490" s="374">
        <v>2017</v>
      </c>
      <c r="V490" s="381">
        <v>1</v>
      </c>
    </row>
    <row r="491" spans="1:25" s="23" customFormat="1" ht="18" customHeight="1" x14ac:dyDescent="0.25">
      <c r="A491" s="374">
        <f>A490+1</f>
        <v>416</v>
      </c>
      <c r="B491" s="47" t="s">
        <v>88</v>
      </c>
      <c r="C491" s="46" t="s">
        <v>18</v>
      </c>
      <c r="D491" s="46"/>
      <c r="E491" s="46"/>
      <c r="F491" s="270">
        <v>1711.5</v>
      </c>
      <c r="G491" s="270">
        <v>1155.3</v>
      </c>
      <c r="H491" s="169">
        <f t="shared" ref="H491" si="206">I491+J491+K491+L491+M491+N491+O491</f>
        <v>3320135.8020000001</v>
      </c>
      <c r="I491" s="169">
        <f>ROUND(332.83*G491,2)-23071.11+ROUND(716.06*1155.3,2)-38094.73</f>
        <v>1150616.78</v>
      </c>
      <c r="J491" s="170">
        <v>0</v>
      </c>
      <c r="K491" s="69">
        <f>G491*1824.94-95619.33</f>
        <v>2012733.852</v>
      </c>
      <c r="L491" s="170">
        <v>0</v>
      </c>
      <c r="M491" s="170">
        <v>0</v>
      </c>
      <c r="N491" s="170">
        <v>0</v>
      </c>
      <c r="O491" s="170">
        <f>23071.11+133714.06</f>
        <v>156785.16999999998</v>
      </c>
      <c r="P491" s="170">
        <v>0</v>
      </c>
      <c r="Q491" s="170">
        <v>0</v>
      </c>
      <c r="R491" s="170">
        <v>0</v>
      </c>
      <c r="S491" s="171">
        <f t="shared" si="205"/>
        <v>3320135.8020000001</v>
      </c>
      <c r="T491" s="137">
        <v>2016</v>
      </c>
      <c r="U491" s="137">
        <v>2017</v>
      </c>
      <c r="V491" s="374">
        <v>1</v>
      </c>
      <c r="W491" s="138" t="s">
        <v>142</v>
      </c>
      <c r="X491" s="137">
        <v>3</v>
      </c>
    </row>
    <row r="492" spans="1:25" s="23" customFormat="1" ht="18" customHeight="1" x14ac:dyDescent="0.25">
      <c r="A492" s="374">
        <f t="shared" ref="A492:A508" si="207">A491+1</f>
        <v>417</v>
      </c>
      <c r="B492" s="47" t="s">
        <v>462</v>
      </c>
      <c r="C492" s="46" t="s">
        <v>97</v>
      </c>
      <c r="D492" s="46"/>
      <c r="E492" s="46"/>
      <c r="F492" s="270">
        <v>3036.4</v>
      </c>
      <c r="G492" s="139">
        <v>2701.8</v>
      </c>
      <c r="H492" s="49">
        <f t="shared" ref="H492:H508" si="208">I492+J492+K492+L492+M492+N492+O492</f>
        <v>1934650.91</v>
      </c>
      <c r="I492" s="49">
        <f>ROUND(716.06*G492,2)-O492</f>
        <v>1818571.8599999999</v>
      </c>
      <c r="J492" s="48">
        <v>0</v>
      </c>
      <c r="K492" s="48">
        <v>0</v>
      </c>
      <c r="L492" s="48">
        <v>0</v>
      </c>
      <c r="M492" s="48">
        <v>0</v>
      </c>
      <c r="N492" s="48">
        <v>0</v>
      </c>
      <c r="O492" s="48">
        <v>116079.05</v>
      </c>
      <c r="P492" s="48">
        <v>0</v>
      </c>
      <c r="Q492" s="48">
        <v>0</v>
      </c>
      <c r="R492" s="48">
        <v>0</v>
      </c>
      <c r="S492" s="91">
        <f t="shared" ref="S492:S508" si="209">H492</f>
        <v>1934650.91</v>
      </c>
      <c r="T492" s="374">
        <v>2017</v>
      </c>
      <c r="U492" s="374">
        <v>2017</v>
      </c>
      <c r="V492" s="132">
        <f>V491+1</f>
        <v>2</v>
      </c>
      <c r="W492" s="271" t="s">
        <v>141</v>
      </c>
      <c r="X492" s="137">
        <v>5</v>
      </c>
    </row>
    <row r="493" spans="1:25" s="23" customFormat="1" ht="18" customHeight="1" x14ac:dyDescent="0.25">
      <c r="A493" s="374">
        <f t="shared" si="207"/>
        <v>418</v>
      </c>
      <c r="B493" s="47" t="s">
        <v>402</v>
      </c>
      <c r="C493" s="46" t="s">
        <v>19</v>
      </c>
      <c r="D493" s="46"/>
      <c r="E493" s="46"/>
      <c r="F493" s="270">
        <v>1302</v>
      </c>
      <c r="G493" s="139">
        <v>1154.4000000000001</v>
      </c>
      <c r="H493" s="49">
        <f t="shared" si="208"/>
        <v>839318.06</v>
      </c>
      <c r="I493" s="49">
        <f>ROUND(727.06*G493,2)-O493</f>
        <v>788958.9800000001</v>
      </c>
      <c r="J493" s="48">
        <v>0</v>
      </c>
      <c r="K493" s="48">
        <v>0</v>
      </c>
      <c r="L493" s="48">
        <v>0</v>
      </c>
      <c r="M493" s="48">
        <v>0</v>
      </c>
      <c r="N493" s="48">
        <v>0</v>
      </c>
      <c r="O493" s="48">
        <v>50359.08</v>
      </c>
      <c r="P493" s="48">
        <v>0</v>
      </c>
      <c r="Q493" s="48">
        <v>0</v>
      </c>
      <c r="R493" s="48">
        <v>0</v>
      </c>
      <c r="S493" s="91">
        <f t="shared" si="209"/>
        <v>839318.06</v>
      </c>
      <c r="T493" s="374">
        <v>2017</v>
      </c>
      <c r="U493" s="374">
        <v>2017</v>
      </c>
      <c r="V493" s="132">
        <f t="shared" ref="V493:V508" si="210">V492+1</f>
        <v>3</v>
      </c>
      <c r="W493" s="271" t="s">
        <v>142</v>
      </c>
      <c r="X493" s="374">
        <v>3</v>
      </c>
    </row>
    <row r="494" spans="1:25" s="23" customFormat="1" ht="18" customHeight="1" x14ac:dyDescent="0.25">
      <c r="A494" s="374">
        <f t="shared" si="207"/>
        <v>419</v>
      </c>
      <c r="B494" s="272" t="s">
        <v>404</v>
      </c>
      <c r="C494" s="318" t="s">
        <v>81</v>
      </c>
      <c r="D494" s="274"/>
      <c r="E494" s="274"/>
      <c r="F494" s="270">
        <v>3759.6</v>
      </c>
      <c r="G494" s="273">
        <v>3455</v>
      </c>
      <c r="H494" s="49">
        <f t="shared" si="208"/>
        <v>1149927.6499999999</v>
      </c>
      <c r="I494" s="49">
        <f>ROUND(332.83*G494,2)-O494</f>
        <v>1112988.93</v>
      </c>
      <c r="J494" s="48">
        <v>0</v>
      </c>
      <c r="K494" s="48">
        <v>0</v>
      </c>
      <c r="L494" s="48">
        <v>0</v>
      </c>
      <c r="M494" s="48">
        <v>0</v>
      </c>
      <c r="N494" s="48">
        <v>0</v>
      </c>
      <c r="O494" s="48">
        <v>36938.720000000001</v>
      </c>
      <c r="P494" s="48">
        <v>0</v>
      </c>
      <c r="Q494" s="48">
        <v>0</v>
      </c>
      <c r="R494" s="48">
        <v>0</v>
      </c>
      <c r="S494" s="91">
        <f t="shared" si="209"/>
        <v>1149927.6499999999</v>
      </c>
      <c r="T494" s="374">
        <v>2017</v>
      </c>
      <c r="U494" s="374">
        <v>2017</v>
      </c>
      <c r="V494" s="132">
        <f t="shared" si="210"/>
        <v>4</v>
      </c>
      <c r="W494" s="271" t="s">
        <v>142</v>
      </c>
      <c r="X494" s="274">
        <v>5</v>
      </c>
    </row>
    <row r="495" spans="1:25" s="23" customFormat="1" ht="18" customHeight="1" x14ac:dyDescent="0.25">
      <c r="A495" s="374">
        <f t="shared" si="207"/>
        <v>420</v>
      </c>
      <c r="B495" s="275" t="s">
        <v>405</v>
      </c>
      <c r="C495" s="267" t="s">
        <v>81</v>
      </c>
      <c r="D495" s="137"/>
      <c r="E495" s="267"/>
      <c r="F495" s="270">
        <v>5088.5</v>
      </c>
      <c r="G495" s="139">
        <v>4597.8999999999996</v>
      </c>
      <c r="H495" s="49">
        <f t="shared" si="208"/>
        <v>1530319.06</v>
      </c>
      <c r="I495" s="49">
        <f>ROUND(332.83*G495,2)-O495</f>
        <v>1488492.78</v>
      </c>
      <c r="J495" s="48">
        <v>0</v>
      </c>
      <c r="K495" s="48">
        <v>0</v>
      </c>
      <c r="L495" s="48">
        <v>0</v>
      </c>
      <c r="M495" s="48">
        <v>0</v>
      </c>
      <c r="N495" s="48">
        <v>0</v>
      </c>
      <c r="O495" s="48">
        <v>41826.28</v>
      </c>
      <c r="P495" s="48">
        <v>0</v>
      </c>
      <c r="Q495" s="48">
        <v>0</v>
      </c>
      <c r="R495" s="48">
        <v>0</v>
      </c>
      <c r="S495" s="91">
        <f t="shared" si="209"/>
        <v>1530319.06</v>
      </c>
      <c r="T495" s="374">
        <v>2017</v>
      </c>
      <c r="U495" s="374">
        <v>2017</v>
      </c>
      <c r="V495" s="132">
        <f t="shared" si="210"/>
        <v>5</v>
      </c>
      <c r="W495" s="271" t="s">
        <v>142</v>
      </c>
      <c r="X495" s="137">
        <v>5</v>
      </c>
    </row>
    <row r="496" spans="1:25" s="23" customFormat="1" ht="18" customHeight="1" x14ac:dyDescent="0.25">
      <c r="A496" s="374">
        <f t="shared" si="207"/>
        <v>421</v>
      </c>
      <c r="B496" s="275" t="s">
        <v>403</v>
      </c>
      <c r="C496" s="317" t="s">
        <v>19</v>
      </c>
      <c r="D496" s="264"/>
      <c r="E496" s="317"/>
      <c r="F496" s="270">
        <v>2792.1</v>
      </c>
      <c r="G496" s="139">
        <v>1881.9</v>
      </c>
      <c r="H496" s="49">
        <f t="shared" si="208"/>
        <v>1994606.99</v>
      </c>
      <c r="I496" s="49">
        <f>ROUND((727.06+332.83)*G496,2)-O496</f>
        <v>1874930.57</v>
      </c>
      <c r="J496" s="48">
        <v>0</v>
      </c>
      <c r="K496" s="48">
        <v>0</v>
      </c>
      <c r="L496" s="48">
        <v>0</v>
      </c>
      <c r="M496" s="48">
        <v>0</v>
      </c>
      <c r="N496" s="48">
        <v>0</v>
      </c>
      <c r="O496" s="48">
        <v>119676.42</v>
      </c>
      <c r="P496" s="48">
        <v>0</v>
      </c>
      <c r="Q496" s="48">
        <v>0</v>
      </c>
      <c r="R496" s="48">
        <v>0</v>
      </c>
      <c r="S496" s="91">
        <f t="shared" si="209"/>
        <v>1994606.99</v>
      </c>
      <c r="T496" s="374">
        <v>2017</v>
      </c>
      <c r="U496" s="374">
        <v>2017</v>
      </c>
      <c r="V496" s="132">
        <f t="shared" si="210"/>
        <v>6</v>
      </c>
      <c r="W496" s="271" t="s">
        <v>142</v>
      </c>
      <c r="X496" s="374">
        <v>3</v>
      </c>
    </row>
    <row r="497" spans="1:24" s="23" customFormat="1" ht="18" customHeight="1" x14ac:dyDescent="0.25">
      <c r="A497" s="374">
        <f t="shared" si="207"/>
        <v>422</v>
      </c>
      <c r="B497" s="275" t="s">
        <v>406</v>
      </c>
      <c r="C497" s="267" t="s">
        <v>55</v>
      </c>
      <c r="D497" s="137"/>
      <c r="E497" s="267"/>
      <c r="F497" s="270">
        <v>2000.7</v>
      </c>
      <c r="G497" s="139">
        <v>1619</v>
      </c>
      <c r="H497" s="49">
        <f t="shared" si="208"/>
        <v>1177110.1399999999</v>
      </c>
      <c r="I497" s="49">
        <f>ROUND(727.06*G497,2)-O497</f>
        <v>1106483.5299999998</v>
      </c>
      <c r="J497" s="48">
        <v>0</v>
      </c>
      <c r="K497" s="48">
        <v>0</v>
      </c>
      <c r="L497" s="48">
        <v>0</v>
      </c>
      <c r="M497" s="48">
        <v>0</v>
      </c>
      <c r="N497" s="48">
        <v>0</v>
      </c>
      <c r="O497" s="48">
        <v>70626.61</v>
      </c>
      <c r="P497" s="48">
        <v>0</v>
      </c>
      <c r="Q497" s="48">
        <v>0</v>
      </c>
      <c r="R497" s="48">
        <v>0</v>
      </c>
      <c r="S497" s="91">
        <f t="shared" si="209"/>
        <v>1177110.1399999999</v>
      </c>
      <c r="T497" s="374">
        <v>2017</v>
      </c>
      <c r="U497" s="374">
        <v>2017</v>
      </c>
      <c r="V497" s="132">
        <f t="shared" si="210"/>
        <v>7</v>
      </c>
      <c r="W497" s="271" t="s">
        <v>142</v>
      </c>
      <c r="X497" s="374">
        <v>5</v>
      </c>
    </row>
    <row r="498" spans="1:24" s="23" customFormat="1" ht="18" customHeight="1" x14ac:dyDescent="0.25">
      <c r="A498" s="374">
        <f t="shared" si="207"/>
        <v>423</v>
      </c>
      <c r="B498" s="275" t="s">
        <v>407</v>
      </c>
      <c r="C498" s="267" t="s">
        <v>55</v>
      </c>
      <c r="D498" s="137"/>
      <c r="E498" s="267"/>
      <c r="F498" s="270">
        <v>1801.7</v>
      </c>
      <c r="G498" s="139">
        <v>1578.7</v>
      </c>
      <c r="H498" s="49">
        <f t="shared" si="208"/>
        <v>1147809.6200000001</v>
      </c>
      <c r="I498" s="49">
        <f>ROUND(727.06*G498,2)-O498</f>
        <v>1078941.04</v>
      </c>
      <c r="J498" s="48">
        <v>0</v>
      </c>
      <c r="K498" s="48">
        <v>0</v>
      </c>
      <c r="L498" s="48">
        <v>0</v>
      </c>
      <c r="M498" s="48">
        <v>0</v>
      </c>
      <c r="N498" s="48">
        <v>0</v>
      </c>
      <c r="O498" s="48">
        <v>68868.58</v>
      </c>
      <c r="P498" s="48">
        <v>0</v>
      </c>
      <c r="Q498" s="48">
        <v>0</v>
      </c>
      <c r="R498" s="48">
        <v>0</v>
      </c>
      <c r="S498" s="91">
        <f t="shared" si="209"/>
        <v>1147809.6200000001</v>
      </c>
      <c r="T498" s="374">
        <v>2017</v>
      </c>
      <c r="U498" s="374">
        <v>2017</v>
      </c>
      <c r="V498" s="132">
        <f t="shared" si="210"/>
        <v>8</v>
      </c>
      <c r="W498" s="271" t="s">
        <v>142</v>
      </c>
      <c r="X498" s="374">
        <v>5</v>
      </c>
    </row>
    <row r="499" spans="1:24" s="23" customFormat="1" ht="18" customHeight="1" x14ac:dyDescent="0.25">
      <c r="A499" s="374">
        <f t="shared" si="207"/>
        <v>424</v>
      </c>
      <c r="B499" s="275" t="s">
        <v>409</v>
      </c>
      <c r="C499" s="267" t="s">
        <v>93</v>
      </c>
      <c r="D499" s="137"/>
      <c r="E499" s="267"/>
      <c r="F499" s="270">
        <v>3863.2</v>
      </c>
      <c r="G499" s="139">
        <v>3530</v>
      </c>
      <c r="H499" s="49">
        <f t="shared" si="208"/>
        <v>1174889.8999999999</v>
      </c>
      <c r="I499" s="49">
        <f>ROUND(332.83*G499,2)-O499</f>
        <v>1138032.5999999999</v>
      </c>
      <c r="J499" s="48">
        <v>0</v>
      </c>
      <c r="K499" s="48">
        <v>0</v>
      </c>
      <c r="L499" s="48">
        <v>0</v>
      </c>
      <c r="M499" s="48">
        <v>0</v>
      </c>
      <c r="N499" s="48">
        <v>0</v>
      </c>
      <c r="O499" s="48">
        <v>36857.300000000003</v>
      </c>
      <c r="P499" s="48">
        <v>0</v>
      </c>
      <c r="Q499" s="48">
        <v>0</v>
      </c>
      <c r="R499" s="48">
        <v>0</v>
      </c>
      <c r="S499" s="91">
        <f t="shared" si="209"/>
        <v>1174889.8999999999</v>
      </c>
      <c r="T499" s="374">
        <v>2017</v>
      </c>
      <c r="U499" s="374">
        <v>2017</v>
      </c>
      <c r="V499" s="132">
        <f t="shared" si="210"/>
        <v>9</v>
      </c>
      <c r="W499" s="271" t="s">
        <v>141</v>
      </c>
      <c r="X499" s="374">
        <v>5</v>
      </c>
    </row>
    <row r="500" spans="1:24" s="23" customFormat="1" ht="18" customHeight="1" x14ac:dyDescent="0.25">
      <c r="A500" s="374">
        <f t="shared" si="207"/>
        <v>425</v>
      </c>
      <c r="B500" s="275" t="s">
        <v>408</v>
      </c>
      <c r="C500" s="267" t="s">
        <v>62</v>
      </c>
      <c r="D500" s="137"/>
      <c r="E500" s="267"/>
      <c r="F500" s="270">
        <v>1983.1</v>
      </c>
      <c r="G500" s="139">
        <v>1632.8</v>
      </c>
      <c r="H500" s="49">
        <f t="shared" si="208"/>
        <v>1187143.57</v>
      </c>
      <c r="I500" s="49">
        <f>ROUND(727.06*G500,2)-O500</f>
        <v>1115914.96</v>
      </c>
      <c r="J500" s="48">
        <v>0</v>
      </c>
      <c r="K500" s="48">
        <v>0</v>
      </c>
      <c r="L500" s="48">
        <v>0</v>
      </c>
      <c r="M500" s="48">
        <v>0</v>
      </c>
      <c r="N500" s="48">
        <v>0</v>
      </c>
      <c r="O500" s="48">
        <v>71228.61</v>
      </c>
      <c r="P500" s="48">
        <v>0</v>
      </c>
      <c r="Q500" s="48">
        <v>0</v>
      </c>
      <c r="R500" s="48">
        <v>0</v>
      </c>
      <c r="S500" s="91">
        <f t="shared" si="209"/>
        <v>1187143.57</v>
      </c>
      <c r="T500" s="374">
        <v>2017</v>
      </c>
      <c r="U500" s="374">
        <v>2017</v>
      </c>
      <c r="V500" s="132">
        <f t="shared" si="210"/>
        <v>10</v>
      </c>
      <c r="W500" s="65" t="s">
        <v>142</v>
      </c>
      <c r="X500" s="374">
        <v>5</v>
      </c>
    </row>
    <row r="501" spans="1:24" s="23" customFormat="1" ht="18" customHeight="1" x14ac:dyDescent="0.25">
      <c r="A501" s="374">
        <f t="shared" si="207"/>
        <v>426</v>
      </c>
      <c r="B501" s="275" t="s">
        <v>410</v>
      </c>
      <c r="C501" s="267" t="s">
        <v>19</v>
      </c>
      <c r="D501" s="137"/>
      <c r="E501" s="267"/>
      <c r="F501" s="270">
        <v>1313.4</v>
      </c>
      <c r="G501" s="139">
        <v>1161.7</v>
      </c>
      <c r="H501" s="49">
        <f t="shared" si="208"/>
        <v>1404588.24</v>
      </c>
      <c r="I501" s="49">
        <f>ROUND((191.67+290.35+727.06)*G501,2)-O501</f>
        <v>1320312.95</v>
      </c>
      <c r="J501" s="48">
        <v>0</v>
      </c>
      <c r="K501" s="48">
        <v>0</v>
      </c>
      <c r="L501" s="48">
        <v>0</v>
      </c>
      <c r="M501" s="48">
        <v>0</v>
      </c>
      <c r="N501" s="48">
        <v>0</v>
      </c>
      <c r="O501" s="48">
        <v>84275.29</v>
      </c>
      <c r="P501" s="48">
        <v>0</v>
      </c>
      <c r="Q501" s="48">
        <v>0</v>
      </c>
      <c r="R501" s="48">
        <v>0</v>
      </c>
      <c r="S501" s="91">
        <f t="shared" si="209"/>
        <v>1404588.24</v>
      </c>
      <c r="T501" s="374">
        <v>2017</v>
      </c>
      <c r="U501" s="374">
        <v>2017</v>
      </c>
      <c r="V501" s="132">
        <f t="shared" si="210"/>
        <v>11</v>
      </c>
      <c r="W501" s="271" t="s">
        <v>142</v>
      </c>
      <c r="X501" s="374">
        <v>3</v>
      </c>
    </row>
    <row r="502" spans="1:24" s="23" customFormat="1" ht="18" customHeight="1" x14ac:dyDescent="0.25">
      <c r="A502" s="374">
        <f t="shared" si="207"/>
        <v>427</v>
      </c>
      <c r="B502" s="275" t="s">
        <v>411</v>
      </c>
      <c r="C502" s="267" t="s">
        <v>71</v>
      </c>
      <c r="D502" s="137"/>
      <c r="E502" s="267"/>
      <c r="F502" s="270">
        <v>1397.5</v>
      </c>
      <c r="G502" s="139">
        <v>1284.5999999999999</v>
      </c>
      <c r="H502" s="49">
        <f t="shared" si="208"/>
        <v>427553.42</v>
      </c>
      <c r="I502" s="49">
        <f>ROUND(332.83*G502,2)-O502</f>
        <v>401900.20999999996</v>
      </c>
      <c r="J502" s="48">
        <v>0</v>
      </c>
      <c r="K502" s="48">
        <v>0</v>
      </c>
      <c r="L502" s="48">
        <v>0</v>
      </c>
      <c r="M502" s="48">
        <v>0</v>
      </c>
      <c r="N502" s="48">
        <v>0</v>
      </c>
      <c r="O502" s="48">
        <v>25653.21</v>
      </c>
      <c r="P502" s="48">
        <v>0</v>
      </c>
      <c r="Q502" s="48">
        <v>0</v>
      </c>
      <c r="R502" s="48">
        <v>0</v>
      </c>
      <c r="S502" s="91">
        <f t="shared" si="209"/>
        <v>427553.42</v>
      </c>
      <c r="T502" s="374">
        <v>2017</v>
      </c>
      <c r="U502" s="374">
        <v>2017</v>
      </c>
      <c r="V502" s="132">
        <f t="shared" si="210"/>
        <v>12</v>
      </c>
      <c r="W502" s="271" t="s">
        <v>142</v>
      </c>
      <c r="X502" s="374">
        <v>5</v>
      </c>
    </row>
    <row r="503" spans="1:24" s="23" customFormat="1" ht="18" customHeight="1" x14ac:dyDescent="0.25">
      <c r="A503" s="374">
        <f t="shared" si="207"/>
        <v>428</v>
      </c>
      <c r="B503" s="275" t="s">
        <v>413</v>
      </c>
      <c r="C503" s="267" t="s">
        <v>19</v>
      </c>
      <c r="D503" s="137"/>
      <c r="E503" s="267"/>
      <c r="F503" s="270">
        <v>1499.5</v>
      </c>
      <c r="G503" s="139">
        <v>1174.5999999999999</v>
      </c>
      <c r="H503" s="49">
        <f t="shared" si="208"/>
        <v>1420185.37</v>
      </c>
      <c r="I503" s="49">
        <f>ROUND((191.67+290.35+727.06)*G503,2)-O503</f>
        <v>1334974.25</v>
      </c>
      <c r="J503" s="48">
        <v>0</v>
      </c>
      <c r="K503" s="48">
        <v>0</v>
      </c>
      <c r="L503" s="48">
        <v>0</v>
      </c>
      <c r="M503" s="48">
        <v>0</v>
      </c>
      <c r="N503" s="48">
        <v>0</v>
      </c>
      <c r="O503" s="48">
        <v>85211.12</v>
      </c>
      <c r="P503" s="48">
        <v>0</v>
      </c>
      <c r="Q503" s="48">
        <v>0</v>
      </c>
      <c r="R503" s="48">
        <v>0</v>
      </c>
      <c r="S503" s="91">
        <f t="shared" si="209"/>
        <v>1420185.37</v>
      </c>
      <c r="T503" s="374">
        <v>2017</v>
      </c>
      <c r="U503" s="374">
        <v>2017</v>
      </c>
      <c r="V503" s="132">
        <f t="shared" si="210"/>
        <v>13</v>
      </c>
      <c r="W503" s="271" t="s">
        <v>142</v>
      </c>
      <c r="X503" s="374">
        <v>3</v>
      </c>
    </row>
    <row r="504" spans="1:24" s="23" customFormat="1" ht="18" customHeight="1" x14ac:dyDescent="0.25">
      <c r="A504" s="374">
        <f t="shared" si="207"/>
        <v>429</v>
      </c>
      <c r="B504" s="275" t="s">
        <v>414</v>
      </c>
      <c r="C504" s="267" t="s">
        <v>93</v>
      </c>
      <c r="D504" s="137"/>
      <c r="E504" s="267"/>
      <c r="F504" s="270">
        <v>2795.8</v>
      </c>
      <c r="G504" s="139">
        <v>2579.4</v>
      </c>
      <c r="H504" s="49">
        <f t="shared" si="208"/>
        <v>1875378.56</v>
      </c>
      <c r="I504" s="49">
        <f>ROUND(727.06*G504,2)-O504</f>
        <v>1773362.84</v>
      </c>
      <c r="J504" s="48">
        <v>0</v>
      </c>
      <c r="K504" s="48">
        <v>0</v>
      </c>
      <c r="L504" s="48">
        <v>0</v>
      </c>
      <c r="M504" s="48">
        <v>0</v>
      </c>
      <c r="N504" s="48">
        <v>0</v>
      </c>
      <c r="O504" s="48">
        <v>102015.72</v>
      </c>
      <c r="P504" s="48">
        <v>0</v>
      </c>
      <c r="Q504" s="48">
        <v>0</v>
      </c>
      <c r="R504" s="48">
        <v>0</v>
      </c>
      <c r="S504" s="91">
        <f t="shared" si="209"/>
        <v>1875378.56</v>
      </c>
      <c r="T504" s="374">
        <v>2017</v>
      </c>
      <c r="U504" s="374">
        <v>2017</v>
      </c>
      <c r="V504" s="132">
        <f t="shared" si="210"/>
        <v>14</v>
      </c>
      <c r="W504" s="271" t="s">
        <v>142</v>
      </c>
      <c r="X504" s="374">
        <v>5</v>
      </c>
    </row>
    <row r="505" spans="1:24" s="23" customFormat="1" ht="18" customHeight="1" x14ac:dyDescent="0.25">
      <c r="A505" s="374">
        <f t="shared" si="207"/>
        <v>430</v>
      </c>
      <c r="B505" s="275" t="s">
        <v>412</v>
      </c>
      <c r="C505" s="267" t="s">
        <v>93</v>
      </c>
      <c r="D505" s="137"/>
      <c r="E505" s="267"/>
      <c r="F505" s="270">
        <v>2748.6</v>
      </c>
      <c r="G505" s="139">
        <v>2547.6</v>
      </c>
      <c r="H505" s="49">
        <f t="shared" si="208"/>
        <v>1227994.1499999999</v>
      </c>
      <c r="I505" s="49">
        <f>ROUND((191.67+290.35)*G505,2)-O505</f>
        <v>1154314.5</v>
      </c>
      <c r="J505" s="48">
        <v>0</v>
      </c>
      <c r="K505" s="48">
        <v>0</v>
      </c>
      <c r="L505" s="48">
        <v>0</v>
      </c>
      <c r="M505" s="48">
        <v>0</v>
      </c>
      <c r="N505" s="48">
        <v>0</v>
      </c>
      <c r="O505" s="48">
        <v>73679.649999999994</v>
      </c>
      <c r="P505" s="48">
        <v>0</v>
      </c>
      <c r="Q505" s="48">
        <v>0</v>
      </c>
      <c r="R505" s="48">
        <v>0</v>
      </c>
      <c r="S505" s="91">
        <f t="shared" si="209"/>
        <v>1227994.1499999999</v>
      </c>
      <c r="T505" s="374">
        <v>2017</v>
      </c>
      <c r="U505" s="374">
        <v>2017</v>
      </c>
      <c r="V505" s="132">
        <f t="shared" si="210"/>
        <v>15</v>
      </c>
      <c r="W505" s="271" t="s">
        <v>142</v>
      </c>
      <c r="X505" s="374">
        <v>5</v>
      </c>
    </row>
    <row r="506" spans="1:24" s="23" customFormat="1" ht="18" customHeight="1" x14ac:dyDescent="0.25">
      <c r="A506" s="374">
        <f t="shared" si="207"/>
        <v>431</v>
      </c>
      <c r="B506" s="275" t="s">
        <v>415</v>
      </c>
      <c r="C506" s="267" t="s">
        <v>63</v>
      </c>
      <c r="D506" s="137"/>
      <c r="E506" s="267"/>
      <c r="F506" s="270">
        <v>4162.8</v>
      </c>
      <c r="G506" s="139">
        <v>3401.2</v>
      </c>
      <c r="H506" s="49">
        <f t="shared" si="208"/>
        <v>1639446.42</v>
      </c>
      <c r="I506" s="49">
        <f>ROUND((191.67+290.35)*G506,2)-O506</f>
        <v>1541079.63</v>
      </c>
      <c r="J506" s="48">
        <v>0</v>
      </c>
      <c r="K506" s="48">
        <v>0</v>
      </c>
      <c r="L506" s="48">
        <v>0</v>
      </c>
      <c r="M506" s="48">
        <v>0</v>
      </c>
      <c r="N506" s="48">
        <v>0</v>
      </c>
      <c r="O506" s="48">
        <v>98366.79</v>
      </c>
      <c r="P506" s="48">
        <v>0</v>
      </c>
      <c r="Q506" s="48">
        <v>0</v>
      </c>
      <c r="R506" s="48">
        <v>0</v>
      </c>
      <c r="S506" s="91">
        <f t="shared" si="209"/>
        <v>1639446.42</v>
      </c>
      <c r="T506" s="374">
        <v>2017</v>
      </c>
      <c r="U506" s="374">
        <v>2017</v>
      </c>
      <c r="V506" s="132">
        <f t="shared" si="210"/>
        <v>16</v>
      </c>
      <c r="W506" s="271" t="s">
        <v>142</v>
      </c>
      <c r="X506" s="374">
        <v>5</v>
      </c>
    </row>
    <row r="507" spans="1:24" s="23" customFormat="1" ht="18" customHeight="1" x14ac:dyDescent="0.25">
      <c r="A507" s="374">
        <f t="shared" si="207"/>
        <v>432</v>
      </c>
      <c r="B507" s="275" t="s">
        <v>416</v>
      </c>
      <c r="C507" s="267" t="s">
        <v>93</v>
      </c>
      <c r="D507" s="137"/>
      <c r="E507" s="267"/>
      <c r="F507" s="270">
        <v>1821.6</v>
      </c>
      <c r="G507" s="139">
        <v>1613.6</v>
      </c>
      <c r="H507" s="49">
        <f t="shared" si="208"/>
        <v>777787.47</v>
      </c>
      <c r="I507" s="49">
        <f>ROUND((191.67+290.35)*G507,2)-O507</f>
        <v>731120.22</v>
      </c>
      <c r="J507" s="48">
        <v>0</v>
      </c>
      <c r="K507" s="48">
        <v>0</v>
      </c>
      <c r="L507" s="48">
        <v>0</v>
      </c>
      <c r="M507" s="48">
        <v>0</v>
      </c>
      <c r="N507" s="48">
        <v>0</v>
      </c>
      <c r="O507" s="48">
        <v>46667.25</v>
      </c>
      <c r="P507" s="48">
        <v>0</v>
      </c>
      <c r="Q507" s="48">
        <v>0</v>
      </c>
      <c r="R507" s="48">
        <v>0</v>
      </c>
      <c r="S507" s="91">
        <f t="shared" si="209"/>
        <v>777787.47</v>
      </c>
      <c r="T507" s="374">
        <v>2017</v>
      </c>
      <c r="U507" s="374">
        <v>2017</v>
      </c>
      <c r="V507" s="132">
        <f t="shared" si="210"/>
        <v>17</v>
      </c>
      <c r="W507" s="271" t="s">
        <v>142</v>
      </c>
      <c r="X507" s="374">
        <v>5</v>
      </c>
    </row>
    <row r="508" spans="1:24" s="23" customFormat="1" ht="18" customHeight="1" x14ac:dyDescent="0.25">
      <c r="A508" s="374">
        <f t="shared" si="207"/>
        <v>433</v>
      </c>
      <c r="B508" s="275" t="s">
        <v>439</v>
      </c>
      <c r="C508" s="276">
        <v>1984</v>
      </c>
      <c r="D508" s="276"/>
      <c r="E508" s="276"/>
      <c r="F508" s="270">
        <v>15826.6</v>
      </c>
      <c r="G508" s="139">
        <v>12548.8</v>
      </c>
      <c r="H508" s="49">
        <f t="shared" si="208"/>
        <v>3037801.66</v>
      </c>
      <c r="I508" s="33">
        <v>0</v>
      </c>
      <c r="J508" s="152">
        <f>3037801.66-75945.04</f>
        <v>2961856.62</v>
      </c>
      <c r="K508" s="48">
        <v>0</v>
      </c>
      <c r="L508" s="48">
        <v>0</v>
      </c>
      <c r="M508" s="48">
        <v>0</v>
      </c>
      <c r="N508" s="48">
        <v>0</v>
      </c>
      <c r="O508" s="49">
        <v>75945.039999999994</v>
      </c>
      <c r="P508" s="48">
        <v>0</v>
      </c>
      <c r="Q508" s="48">
        <v>0</v>
      </c>
      <c r="R508" s="48">
        <v>0</v>
      </c>
      <c r="S508" s="91">
        <f t="shared" si="209"/>
        <v>3037801.66</v>
      </c>
      <c r="T508" s="374">
        <v>2017</v>
      </c>
      <c r="U508" s="374">
        <v>2017</v>
      </c>
      <c r="V508" s="132">
        <f t="shared" si="210"/>
        <v>18</v>
      </c>
      <c r="W508" s="65" t="s">
        <v>141</v>
      </c>
      <c r="X508" s="374">
        <v>9</v>
      </c>
    </row>
    <row r="509" spans="1:24" ht="18" customHeight="1" x14ac:dyDescent="0.25">
      <c r="A509" s="417" t="s">
        <v>257</v>
      </c>
      <c r="B509" s="423"/>
      <c r="C509" s="46"/>
      <c r="D509" s="408"/>
      <c r="E509" s="407"/>
      <c r="F509" s="64">
        <f>SUM(F490:F508)</f>
        <v>59327.6</v>
      </c>
      <c r="G509" s="64">
        <f t="shared" ref="G509:H509" si="211">SUM(G490:G508)</f>
        <v>50002</v>
      </c>
      <c r="H509" s="45">
        <f t="shared" si="211"/>
        <v>29908025.289000001</v>
      </c>
      <c r="I509" s="45">
        <f t="shared" ref="I509" si="212">SUM(I490:I508)</f>
        <v>21433481.409999996</v>
      </c>
      <c r="J509" s="45">
        <f t="shared" ref="J509" si="213">SUM(J490:J508)</f>
        <v>2961856.62</v>
      </c>
      <c r="K509" s="45">
        <f t="shared" ref="K509" si="214">SUM(K490:K508)</f>
        <v>3518371.76</v>
      </c>
      <c r="L509" s="45">
        <f t="shared" ref="L509" si="215">SUM(L490:L508)</f>
        <v>0</v>
      </c>
      <c r="M509" s="45">
        <f t="shared" ref="M509" si="216">SUM(M490:M508)</f>
        <v>481462.81899999996</v>
      </c>
      <c r="N509" s="45">
        <f t="shared" ref="N509" si="217">SUM(N490:N508)</f>
        <v>0</v>
      </c>
      <c r="O509" s="45">
        <f t="shared" ref="O509" si="218">SUM(O490:O508)</f>
        <v>1512852.68</v>
      </c>
      <c r="P509" s="45">
        <f t="shared" ref="P509" si="219">SUM(P490:P508)</f>
        <v>0</v>
      </c>
      <c r="Q509" s="45">
        <f t="shared" ref="Q509" si="220">SUM(Q490:Q508)</f>
        <v>0</v>
      </c>
      <c r="R509" s="45">
        <f t="shared" ref="R509" si="221">SUM(R490:R508)</f>
        <v>0</v>
      </c>
      <c r="S509" s="45">
        <f t="shared" ref="S509" si="222">SUM(S490:S508)</f>
        <v>29908025.289000001</v>
      </c>
      <c r="T509" s="21" t="s">
        <v>112</v>
      </c>
      <c r="U509" s="21" t="s">
        <v>112</v>
      </c>
      <c r="V509" s="3"/>
    </row>
    <row r="510" spans="1:24" ht="18" customHeight="1" x14ac:dyDescent="0.25">
      <c r="A510" s="419" t="s">
        <v>90</v>
      </c>
      <c r="B510" s="420"/>
      <c r="C510" s="420"/>
      <c r="D510" s="420"/>
      <c r="E510" s="421"/>
      <c r="F510" s="420"/>
      <c r="G510" s="420"/>
      <c r="H510" s="420"/>
      <c r="I510" s="420"/>
      <c r="J510" s="420"/>
      <c r="K510" s="420"/>
      <c r="L510" s="420"/>
      <c r="M510" s="420"/>
      <c r="N510" s="420"/>
      <c r="O510" s="420"/>
      <c r="P510" s="420"/>
      <c r="Q510" s="420"/>
      <c r="R510" s="420"/>
      <c r="S510" s="422"/>
      <c r="T510" s="22"/>
      <c r="U510" s="22"/>
      <c r="V510" s="22"/>
    </row>
    <row r="511" spans="1:24" s="111" customFormat="1" ht="18" customHeight="1" x14ac:dyDescent="0.3">
      <c r="A511" s="374">
        <f>A508+1</f>
        <v>434</v>
      </c>
      <c r="B511" s="65" t="s">
        <v>604</v>
      </c>
      <c r="C511" s="352">
        <v>1958</v>
      </c>
      <c r="D511" s="374"/>
      <c r="E511" s="374"/>
      <c r="F511" s="67">
        <f>2580.8+84+242.3</f>
        <v>2907.1000000000004</v>
      </c>
      <c r="G511" s="67">
        <v>2580.8000000000002</v>
      </c>
      <c r="H511" s="305">
        <f>I511+J511+K511+L511+M511+N511+O511</f>
        <v>1243997.22</v>
      </c>
      <c r="I511" s="69">
        <f>ROUND((191.67+290.35)*G511,2)-O511</f>
        <v>1173450.02</v>
      </c>
      <c r="J511" s="69">
        <v>0</v>
      </c>
      <c r="K511" s="69">
        <v>0</v>
      </c>
      <c r="L511" s="69">
        <v>0</v>
      </c>
      <c r="M511" s="69">
        <v>0</v>
      </c>
      <c r="N511" s="69">
        <v>0</v>
      </c>
      <c r="O511" s="69">
        <v>70547.199999999997</v>
      </c>
      <c r="P511" s="69">
        <v>0</v>
      </c>
      <c r="Q511" s="69">
        <v>0</v>
      </c>
      <c r="R511" s="69">
        <v>0</v>
      </c>
      <c r="S511" s="305">
        <f t="shared" ref="S511:S514" si="223">H511</f>
        <v>1243997.22</v>
      </c>
      <c r="T511" s="374">
        <v>2016</v>
      </c>
      <c r="U511" s="374">
        <v>2017</v>
      </c>
      <c r="V511" s="381">
        <v>1</v>
      </c>
    </row>
    <row r="512" spans="1:24" s="111" customFormat="1" ht="18" customHeight="1" x14ac:dyDescent="0.3">
      <c r="A512" s="374">
        <f>A511+1</f>
        <v>435</v>
      </c>
      <c r="B512" s="65" t="s">
        <v>605</v>
      </c>
      <c r="C512" s="352">
        <v>1952</v>
      </c>
      <c r="D512" s="374"/>
      <c r="E512" s="374"/>
      <c r="F512" s="67">
        <f>3004.4+1179.8+495.8</f>
        <v>4680</v>
      </c>
      <c r="G512" s="67">
        <f>F512-495.8-74.5</f>
        <v>4109.7</v>
      </c>
      <c r="H512" s="305">
        <f>I512+J512+K512+L512+M512+N512+O512</f>
        <v>5534820.6699999999</v>
      </c>
      <c r="I512" s="69">
        <v>0</v>
      </c>
      <c r="J512" s="69">
        <v>0</v>
      </c>
      <c r="K512" s="69">
        <v>0</v>
      </c>
      <c r="L512" s="69">
        <v>0</v>
      </c>
      <c r="M512" s="69">
        <f>ROUND(1346.77*G512,2)-O512</f>
        <v>5279489.91</v>
      </c>
      <c r="N512" s="69">
        <v>0</v>
      </c>
      <c r="O512" s="69">
        <v>255330.76</v>
      </c>
      <c r="P512" s="69">
        <v>0</v>
      </c>
      <c r="Q512" s="69">
        <v>0</v>
      </c>
      <c r="R512" s="69">
        <v>0</v>
      </c>
      <c r="S512" s="305">
        <f t="shared" si="223"/>
        <v>5534820.6699999999</v>
      </c>
      <c r="T512" s="374">
        <v>2016</v>
      </c>
      <c r="U512" s="374">
        <v>2017</v>
      </c>
      <c r="V512" s="381">
        <f>V511+1</f>
        <v>2</v>
      </c>
    </row>
    <row r="513" spans="1:24" s="111" customFormat="1" ht="18" customHeight="1" x14ac:dyDescent="0.3">
      <c r="A513" s="374">
        <f t="shared" ref="A513:A532" si="224">A512+1</f>
        <v>436</v>
      </c>
      <c r="B513" s="65" t="s">
        <v>606</v>
      </c>
      <c r="C513" s="352">
        <v>1954</v>
      </c>
      <c r="D513" s="374"/>
      <c r="E513" s="374"/>
      <c r="F513" s="67">
        <v>446.5</v>
      </c>
      <c r="G513" s="67">
        <v>410.1</v>
      </c>
      <c r="H513" s="305">
        <f>I513+J513+K513+L513+M513+N513+O513</f>
        <v>552310.38</v>
      </c>
      <c r="I513" s="69">
        <v>0</v>
      </c>
      <c r="J513" s="69">
        <v>0</v>
      </c>
      <c r="K513" s="69">
        <v>0</v>
      </c>
      <c r="L513" s="69">
        <v>0</v>
      </c>
      <c r="M513" s="69">
        <f>ROUND(1346.77*G513,2)-O513</f>
        <v>520988.42</v>
      </c>
      <c r="N513" s="69">
        <v>0</v>
      </c>
      <c r="O513" s="69">
        <v>31321.96</v>
      </c>
      <c r="P513" s="69">
        <v>0</v>
      </c>
      <c r="Q513" s="69">
        <v>0</v>
      </c>
      <c r="R513" s="69">
        <v>0</v>
      </c>
      <c r="S513" s="305">
        <f t="shared" si="223"/>
        <v>552310.38</v>
      </c>
      <c r="T513" s="374">
        <v>2016</v>
      </c>
      <c r="U513" s="374">
        <v>2017</v>
      </c>
      <c r="V513" s="381">
        <f t="shared" ref="V513:V514" si="225">V512+1</f>
        <v>3</v>
      </c>
    </row>
    <row r="514" spans="1:24" s="111" customFormat="1" ht="18" customHeight="1" x14ac:dyDescent="0.3">
      <c r="A514" s="374">
        <f t="shared" si="224"/>
        <v>437</v>
      </c>
      <c r="B514" s="384" t="s">
        <v>607</v>
      </c>
      <c r="C514" s="352" t="s">
        <v>97</v>
      </c>
      <c r="D514" s="374"/>
      <c r="E514" s="374"/>
      <c r="F514" s="67">
        <v>3490.1</v>
      </c>
      <c r="G514" s="67">
        <v>3187.7</v>
      </c>
      <c r="H514" s="305">
        <f>I514+J514+K514+L514+M514+N514+O514</f>
        <v>2317649.16</v>
      </c>
      <c r="I514" s="69">
        <f>ROUND(727.06*G514,2)-O514</f>
        <v>2218567.79</v>
      </c>
      <c r="J514" s="69">
        <v>0</v>
      </c>
      <c r="K514" s="69">
        <v>0</v>
      </c>
      <c r="L514" s="69">
        <v>0</v>
      </c>
      <c r="M514" s="69">
        <v>0</v>
      </c>
      <c r="N514" s="69">
        <v>0</v>
      </c>
      <c r="O514" s="69">
        <v>99081.37</v>
      </c>
      <c r="P514" s="69">
        <v>0</v>
      </c>
      <c r="Q514" s="69">
        <v>0</v>
      </c>
      <c r="R514" s="69">
        <v>0</v>
      </c>
      <c r="S514" s="305">
        <f t="shared" si="223"/>
        <v>2317649.16</v>
      </c>
      <c r="T514" s="374">
        <v>2016</v>
      </c>
      <c r="U514" s="374">
        <v>2017</v>
      </c>
      <c r="V514" s="381">
        <f t="shared" si="225"/>
        <v>4</v>
      </c>
    </row>
    <row r="515" spans="1:24" s="23" customFormat="1" ht="18" customHeight="1" x14ac:dyDescent="0.3">
      <c r="A515" s="374">
        <f t="shared" si="224"/>
        <v>438</v>
      </c>
      <c r="B515" s="66" t="s">
        <v>362</v>
      </c>
      <c r="C515" s="46">
        <v>1958</v>
      </c>
      <c r="D515" s="46"/>
      <c r="E515" s="46"/>
      <c r="F515" s="67">
        <v>417.3</v>
      </c>
      <c r="G515" s="67">
        <v>376.5</v>
      </c>
      <c r="H515" s="49">
        <f t="shared" ref="H515:H532" si="226">I515+J515+K515+L515+M515+N515+O515</f>
        <v>281765.07</v>
      </c>
      <c r="I515" s="43">
        <f>ROUND(748.38*G515,2)-O515</f>
        <v>264859.17</v>
      </c>
      <c r="J515" s="170">
        <v>0</v>
      </c>
      <c r="K515" s="48">
        <v>0</v>
      </c>
      <c r="L515" s="170">
        <v>0</v>
      </c>
      <c r="M515" s="48">
        <v>0</v>
      </c>
      <c r="N515" s="48">
        <v>0</v>
      </c>
      <c r="O515" s="48">
        <v>16905.900000000001</v>
      </c>
      <c r="P515" s="48">
        <v>0</v>
      </c>
      <c r="Q515" s="48">
        <v>0</v>
      </c>
      <c r="R515" s="48">
        <v>0</v>
      </c>
      <c r="S515" s="91">
        <f t="shared" ref="S515:S532" si="227">H515</f>
        <v>281765.07</v>
      </c>
      <c r="T515" s="374">
        <v>2017</v>
      </c>
      <c r="U515" s="374">
        <v>2017</v>
      </c>
      <c r="V515" s="374">
        <v>1</v>
      </c>
      <c r="W515" s="138" t="s">
        <v>142</v>
      </c>
      <c r="X515" s="46">
        <v>2</v>
      </c>
    </row>
    <row r="516" spans="1:24" s="23" customFormat="1" ht="18" customHeight="1" x14ac:dyDescent="0.3">
      <c r="A516" s="374">
        <f t="shared" si="224"/>
        <v>439</v>
      </c>
      <c r="B516" s="66" t="s">
        <v>356</v>
      </c>
      <c r="C516" s="46">
        <v>1949</v>
      </c>
      <c r="D516" s="46"/>
      <c r="E516" s="46"/>
      <c r="F516" s="67">
        <v>1555.6</v>
      </c>
      <c r="G516" s="67">
        <v>1376.6</v>
      </c>
      <c r="H516" s="49">
        <f t="shared" si="226"/>
        <v>1000870.8</v>
      </c>
      <c r="I516" s="43">
        <f>ROUND(727.06*G516,2)-O516</f>
        <v>940818.55</v>
      </c>
      <c r="J516" s="170">
        <v>0</v>
      </c>
      <c r="K516" s="48">
        <v>0</v>
      </c>
      <c r="L516" s="170">
        <v>0</v>
      </c>
      <c r="M516" s="48">
        <v>0</v>
      </c>
      <c r="N516" s="48">
        <v>0</v>
      </c>
      <c r="O516" s="48">
        <v>60052.25</v>
      </c>
      <c r="P516" s="48">
        <v>0</v>
      </c>
      <c r="Q516" s="48">
        <v>0</v>
      </c>
      <c r="R516" s="48">
        <v>0</v>
      </c>
      <c r="S516" s="91">
        <f t="shared" si="227"/>
        <v>1000870.8</v>
      </c>
      <c r="T516" s="374">
        <v>2017</v>
      </c>
      <c r="U516" s="374">
        <v>2017</v>
      </c>
      <c r="V516" s="374">
        <f>V515+1</f>
        <v>2</v>
      </c>
      <c r="W516" s="138" t="s">
        <v>142</v>
      </c>
      <c r="X516" s="46">
        <v>3</v>
      </c>
    </row>
    <row r="517" spans="1:24" s="23" customFormat="1" ht="18" customHeight="1" x14ac:dyDescent="0.3">
      <c r="A517" s="374">
        <f t="shared" si="224"/>
        <v>440</v>
      </c>
      <c r="B517" s="66" t="s">
        <v>352</v>
      </c>
      <c r="C517" s="46">
        <v>1951</v>
      </c>
      <c r="D517" s="46"/>
      <c r="E517" s="46"/>
      <c r="F517" s="67">
        <v>1722</v>
      </c>
      <c r="G517" s="67">
        <v>1235.9000000000001</v>
      </c>
      <c r="H517" s="49">
        <f t="shared" si="226"/>
        <v>1414808.88</v>
      </c>
      <c r="I517" s="305">
        <v>0</v>
      </c>
      <c r="J517" s="170">
        <v>0</v>
      </c>
      <c r="K517" s="48">
        <v>0</v>
      </c>
      <c r="L517" s="170">
        <v>0</v>
      </c>
      <c r="M517" s="48">
        <f>ROUND(1144.76*G517,2)-O517</f>
        <v>1329920.3499999999</v>
      </c>
      <c r="N517" s="48">
        <v>0</v>
      </c>
      <c r="O517" s="48">
        <v>84888.53</v>
      </c>
      <c r="P517" s="48">
        <v>0</v>
      </c>
      <c r="Q517" s="48">
        <v>0</v>
      </c>
      <c r="R517" s="48">
        <v>0</v>
      </c>
      <c r="S517" s="91">
        <f t="shared" si="227"/>
        <v>1414808.88</v>
      </c>
      <c r="T517" s="374">
        <v>2017</v>
      </c>
      <c r="U517" s="374">
        <v>2017</v>
      </c>
      <c r="V517" s="374">
        <f t="shared" ref="V517:V532" si="228">V516+1</f>
        <v>3</v>
      </c>
      <c r="W517" s="138" t="s">
        <v>142</v>
      </c>
      <c r="X517" s="46">
        <v>3</v>
      </c>
    </row>
    <row r="518" spans="1:24" s="23" customFormat="1" ht="18" customHeight="1" x14ac:dyDescent="0.3">
      <c r="A518" s="374">
        <f t="shared" si="224"/>
        <v>441</v>
      </c>
      <c r="B518" s="66" t="s">
        <v>355</v>
      </c>
      <c r="C518" s="46">
        <v>1958</v>
      </c>
      <c r="D518" s="46"/>
      <c r="E518" s="46"/>
      <c r="F518" s="67">
        <v>2418.1</v>
      </c>
      <c r="G518" s="67">
        <v>1242</v>
      </c>
      <c r="H518" s="49">
        <f t="shared" si="226"/>
        <v>903008.52</v>
      </c>
      <c r="I518" s="43">
        <f>ROUND(727.06*G518,2)-O518</f>
        <v>848828.01</v>
      </c>
      <c r="J518" s="170">
        <v>0</v>
      </c>
      <c r="K518" s="48">
        <v>0</v>
      </c>
      <c r="L518" s="170">
        <v>0</v>
      </c>
      <c r="M518" s="48">
        <v>0</v>
      </c>
      <c r="N518" s="48">
        <v>0</v>
      </c>
      <c r="O518" s="48">
        <v>54180.51</v>
      </c>
      <c r="P518" s="48">
        <v>0</v>
      </c>
      <c r="Q518" s="48">
        <v>0</v>
      </c>
      <c r="R518" s="48">
        <v>0</v>
      </c>
      <c r="S518" s="91">
        <f t="shared" si="227"/>
        <v>903008.52</v>
      </c>
      <c r="T518" s="374">
        <v>2017</v>
      </c>
      <c r="U518" s="374">
        <v>2017</v>
      </c>
      <c r="V518" s="374">
        <f t="shared" si="228"/>
        <v>4</v>
      </c>
      <c r="W518" s="138" t="s">
        <v>142</v>
      </c>
      <c r="X518" s="46">
        <v>3</v>
      </c>
    </row>
    <row r="519" spans="1:24" s="23" customFormat="1" ht="18" customHeight="1" x14ac:dyDescent="0.3">
      <c r="A519" s="374">
        <f t="shared" si="224"/>
        <v>442</v>
      </c>
      <c r="B519" s="66" t="s">
        <v>353</v>
      </c>
      <c r="C519" s="46">
        <v>1952</v>
      </c>
      <c r="D519" s="46"/>
      <c r="E519" s="46"/>
      <c r="F519" s="67">
        <v>1633.4</v>
      </c>
      <c r="G519" s="67">
        <v>1398.2</v>
      </c>
      <c r="H519" s="49">
        <f t="shared" si="226"/>
        <v>414776.03</v>
      </c>
      <c r="I519" s="49">
        <v>0</v>
      </c>
      <c r="J519" s="170">
        <v>0</v>
      </c>
      <c r="K519" s="48">
        <v>0</v>
      </c>
      <c r="L519" s="170">
        <v>0</v>
      </c>
      <c r="M519" s="48">
        <v>0</v>
      </c>
      <c r="N519" s="265">
        <f>ROUND(296.65*G519,2)-O519</f>
        <v>389889.47000000003</v>
      </c>
      <c r="O519" s="48">
        <v>24886.560000000001</v>
      </c>
      <c r="P519" s="48">
        <v>0</v>
      </c>
      <c r="Q519" s="48">
        <v>0</v>
      </c>
      <c r="R519" s="48">
        <v>0</v>
      </c>
      <c r="S519" s="91">
        <f t="shared" si="227"/>
        <v>414776.03</v>
      </c>
      <c r="T519" s="374">
        <v>2017</v>
      </c>
      <c r="U519" s="374">
        <v>2017</v>
      </c>
      <c r="V519" s="374">
        <f t="shared" si="228"/>
        <v>5</v>
      </c>
      <c r="W519" s="138" t="s">
        <v>142</v>
      </c>
      <c r="X519" s="46">
        <v>3</v>
      </c>
    </row>
    <row r="520" spans="1:24" s="23" customFormat="1" ht="18" customHeight="1" x14ac:dyDescent="0.3">
      <c r="A520" s="374">
        <f t="shared" si="224"/>
        <v>443</v>
      </c>
      <c r="B520" s="66" t="s">
        <v>358</v>
      </c>
      <c r="C520" s="46">
        <v>1954</v>
      </c>
      <c r="D520" s="46"/>
      <c r="E520" s="46"/>
      <c r="F520" s="67">
        <v>3738.9</v>
      </c>
      <c r="G520" s="67">
        <v>2757.6</v>
      </c>
      <c r="H520" s="49">
        <f t="shared" si="226"/>
        <v>3156790.18</v>
      </c>
      <c r="I520" s="49">
        <v>0</v>
      </c>
      <c r="J520" s="48">
        <v>0</v>
      </c>
      <c r="K520" s="69">
        <v>0</v>
      </c>
      <c r="L520" s="48">
        <v>0</v>
      </c>
      <c r="M520" s="48">
        <f>ROUND(1144.76*G520,2)-O520</f>
        <v>3001689.8000000003</v>
      </c>
      <c r="N520" s="48">
        <v>0</v>
      </c>
      <c r="O520" s="48">
        <v>155100.38</v>
      </c>
      <c r="P520" s="48">
        <v>0</v>
      </c>
      <c r="Q520" s="48">
        <v>0</v>
      </c>
      <c r="R520" s="48">
        <v>0</v>
      </c>
      <c r="S520" s="91">
        <f t="shared" si="227"/>
        <v>3156790.18</v>
      </c>
      <c r="T520" s="374">
        <v>2017</v>
      </c>
      <c r="U520" s="374">
        <v>2017</v>
      </c>
      <c r="V520" s="374">
        <f t="shared" si="228"/>
        <v>6</v>
      </c>
      <c r="W520" s="138" t="s">
        <v>142</v>
      </c>
      <c r="X520" s="46">
        <v>4</v>
      </c>
    </row>
    <row r="521" spans="1:24" s="23" customFormat="1" ht="18" customHeight="1" x14ac:dyDescent="0.3">
      <c r="A521" s="374">
        <f t="shared" si="224"/>
        <v>444</v>
      </c>
      <c r="B521" s="66" t="s">
        <v>359</v>
      </c>
      <c r="C521" s="46">
        <v>1959</v>
      </c>
      <c r="D521" s="46"/>
      <c r="E521" s="46"/>
      <c r="F521" s="67">
        <v>4932</v>
      </c>
      <c r="G521" s="67">
        <v>4080.8</v>
      </c>
      <c r="H521" s="49">
        <f t="shared" si="226"/>
        <v>2966986.45</v>
      </c>
      <c r="I521" s="302">
        <f>ROUND(727.06*G521,2)-O521</f>
        <v>2788967.2600000002</v>
      </c>
      <c r="J521" s="48">
        <v>0</v>
      </c>
      <c r="K521" s="48">
        <v>0</v>
      </c>
      <c r="L521" s="48">
        <v>0</v>
      </c>
      <c r="M521" s="69">
        <v>0</v>
      </c>
      <c r="N521" s="48">
        <v>0</v>
      </c>
      <c r="O521" s="48">
        <v>178019.19</v>
      </c>
      <c r="P521" s="48">
        <v>0</v>
      </c>
      <c r="Q521" s="48">
        <v>0</v>
      </c>
      <c r="R521" s="48">
        <v>0</v>
      </c>
      <c r="S521" s="91">
        <f t="shared" si="227"/>
        <v>2966986.45</v>
      </c>
      <c r="T521" s="374">
        <v>2017</v>
      </c>
      <c r="U521" s="374">
        <v>2017</v>
      </c>
      <c r="V521" s="374">
        <f t="shared" si="228"/>
        <v>7</v>
      </c>
      <c r="W521" s="138" t="s">
        <v>142</v>
      </c>
      <c r="X521" s="46">
        <v>4</v>
      </c>
    </row>
    <row r="522" spans="1:24" s="23" customFormat="1" ht="18" customHeight="1" x14ac:dyDescent="0.3">
      <c r="A522" s="374">
        <f t="shared" si="224"/>
        <v>445</v>
      </c>
      <c r="B522" s="66" t="s">
        <v>360</v>
      </c>
      <c r="C522" s="46">
        <v>1963</v>
      </c>
      <c r="D522" s="46"/>
      <c r="E522" s="46"/>
      <c r="F522" s="67">
        <v>4272.6000000000004</v>
      </c>
      <c r="G522" s="67">
        <v>2262.4</v>
      </c>
      <c r="H522" s="49">
        <f t="shared" si="226"/>
        <v>1644900.54</v>
      </c>
      <c r="I522" s="302">
        <f>ROUND(727.06*G522,2)-O522</f>
        <v>1546206.51</v>
      </c>
      <c r="J522" s="48">
        <v>0</v>
      </c>
      <c r="K522" s="48">
        <v>0</v>
      </c>
      <c r="L522" s="48">
        <v>0</v>
      </c>
      <c r="M522" s="48">
        <v>0</v>
      </c>
      <c r="N522" s="265">
        <v>0</v>
      </c>
      <c r="O522" s="48">
        <v>98694.03</v>
      </c>
      <c r="P522" s="48">
        <v>0</v>
      </c>
      <c r="Q522" s="48">
        <v>0</v>
      </c>
      <c r="R522" s="48">
        <v>0</v>
      </c>
      <c r="S522" s="91">
        <f t="shared" si="227"/>
        <v>1644900.54</v>
      </c>
      <c r="T522" s="374">
        <v>2017</v>
      </c>
      <c r="U522" s="374">
        <v>2017</v>
      </c>
      <c r="V522" s="374">
        <f t="shared" si="228"/>
        <v>8</v>
      </c>
      <c r="W522" s="138" t="s">
        <v>142</v>
      </c>
      <c r="X522" s="46">
        <v>5</v>
      </c>
    </row>
    <row r="523" spans="1:24" s="23" customFormat="1" ht="18" customHeight="1" x14ac:dyDescent="0.3">
      <c r="A523" s="374">
        <f t="shared" si="224"/>
        <v>446</v>
      </c>
      <c r="B523" s="66" t="s">
        <v>351</v>
      </c>
      <c r="C523" s="46">
        <v>1958</v>
      </c>
      <c r="D523" s="46"/>
      <c r="E523" s="46"/>
      <c r="F523" s="67">
        <v>2920.1</v>
      </c>
      <c r="G523" s="67">
        <v>2681.5</v>
      </c>
      <c r="H523" s="49">
        <f t="shared" si="226"/>
        <v>2832066.23</v>
      </c>
      <c r="I523" s="305">
        <v>0</v>
      </c>
      <c r="J523" s="170">
        <v>0</v>
      </c>
      <c r="K523" s="48">
        <f>ROUND(1056.15*G523,2)-O523</f>
        <v>2739339.47</v>
      </c>
      <c r="L523" s="170">
        <v>0</v>
      </c>
      <c r="M523" s="48">
        <v>0</v>
      </c>
      <c r="N523" s="48">
        <v>0</v>
      </c>
      <c r="O523" s="48">
        <v>92726.76</v>
      </c>
      <c r="P523" s="48">
        <v>0</v>
      </c>
      <c r="Q523" s="48">
        <v>0</v>
      </c>
      <c r="R523" s="48">
        <v>0</v>
      </c>
      <c r="S523" s="91">
        <f t="shared" si="227"/>
        <v>2832066.23</v>
      </c>
      <c r="T523" s="374">
        <v>2017</v>
      </c>
      <c r="U523" s="374">
        <v>2017</v>
      </c>
      <c r="V523" s="374">
        <f t="shared" si="228"/>
        <v>9</v>
      </c>
      <c r="W523" s="138" t="s">
        <v>142</v>
      </c>
      <c r="X523" s="46">
        <v>4</v>
      </c>
    </row>
    <row r="524" spans="1:24" s="23" customFormat="1" ht="18" customHeight="1" x14ac:dyDescent="0.3">
      <c r="A524" s="374">
        <f t="shared" si="224"/>
        <v>447</v>
      </c>
      <c r="B524" s="66" t="s">
        <v>348</v>
      </c>
      <c r="C524" s="46">
        <v>1951</v>
      </c>
      <c r="D524" s="46"/>
      <c r="E524" s="46"/>
      <c r="F524" s="67">
        <v>1551.8</v>
      </c>
      <c r="G524" s="67">
        <v>1410.1</v>
      </c>
      <c r="H524" s="49">
        <f t="shared" si="226"/>
        <v>1025227.31</v>
      </c>
      <c r="I524" s="43">
        <f>ROUND(727.06*G524,2)-O524</f>
        <v>963713.67</v>
      </c>
      <c r="J524" s="48">
        <v>0</v>
      </c>
      <c r="K524" s="48">
        <v>0</v>
      </c>
      <c r="L524" s="48">
        <v>0</v>
      </c>
      <c r="M524" s="48">
        <v>0</v>
      </c>
      <c r="N524" s="48">
        <v>0</v>
      </c>
      <c r="O524" s="48">
        <v>61513.64</v>
      </c>
      <c r="P524" s="48">
        <v>0</v>
      </c>
      <c r="Q524" s="48">
        <v>0</v>
      </c>
      <c r="R524" s="48">
        <v>0</v>
      </c>
      <c r="S524" s="91">
        <f t="shared" si="227"/>
        <v>1025227.31</v>
      </c>
      <c r="T524" s="374">
        <v>2017</v>
      </c>
      <c r="U524" s="374">
        <v>2017</v>
      </c>
      <c r="V524" s="374">
        <f t="shared" si="228"/>
        <v>10</v>
      </c>
      <c r="W524" s="138" t="s">
        <v>142</v>
      </c>
      <c r="X524" s="46">
        <v>3</v>
      </c>
    </row>
    <row r="525" spans="1:24" s="23" customFormat="1" ht="18" customHeight="1" x14ac:dyDescent="0.3">
      <c r="A525" s="374">
        <f t="shared" si="224"/>
        <v>448</v>
      </c>
      <c r="B525" s="47" t="s">
        <v>349</v>
      </c>
      <c r="C525" s="46">
        <v>1955</v>
      </c>
      <c r="D525" s="46"/>
      <c r="E525" s="46"/>
      <c r="F525" s="67">
        <v>432.9</v>
      </c>
      <c r="G525" s="67">
        <v>388.4</v>
      </c>
      <c r="H525" s="49">
        <f t="shared" si="226"/>
        <v>483375.45000000007</v>
      </c>
      <c r="I525" s="43">
        <f>ROUND((748.38+197.29+298.86)*G525,2)-O525</f>
        <v>454372.92000000004</v>
      </c>
      <c r="J525" s="170">
        <v>0</v>
      </c>
      <c r="K525" s="48">
        <v>0</v>
      </c>
      <c r="L525" s="170">
        <v>0</v>
      </c>
      <c r="M525" s="48">
        <v>0</v>
      </c>
      <c r="N525" s="48">
        <v>0</v>
      </c>
      <c r="O525" s="48">
        <v>29002.53</v>
      </c>
      <c r="P525" s="48">
        <v>0</v>
      </c>
      <c r="Q525" s="48">
        <v>0</v>
      </c>
      <c r="R525" s="48">
        <v>0</v>
      </c>
      <c r="S525" s="91">
        <f t="shared" si="227"/>
        <v>483375.45000000007</v>
      </c>
      <c r="T525" s="374">
        <v>2017</v>
      </c>
      <c r="U525" s="374">
        <v>2017</v>
      </c>
      <c r="V525" s="374">
        <f t="shared" si="228"/>
        <v>11</v>
      </c>
      <c r="W525" s="138" t="s">
        <v>142</v>
      </c>
      <c r="X525" s="46">
        <v>2</v>
      </c>
    </row>
    <row r="526" spans="1:24" s="23" customFormat="1" ht="18" customHeight="1" x14ac:dyDescent="0.3">
      <c r="A526" s="374">
        <f t="shared" si="224"/>
        <v>449</v>
      </c>
      <c r="B526" s="66" t="s">
        <v>357</v>
      </c>
      <c r="C526" s="46">
        <v>1965</v>
      </c>
      <c r="D526" s="46"/>
      <c r="E526" s="46"/>
      <c r="F526" s="67">
        <v>4081.6</v>
      </c>
      <c r="G526" s="67">
        <v>2519.9</v>
      </c>
      <c r="H526" s="49">
        <f t="shared" si="226"/>
        <v>738255.10000000009</v>
      </c>
      <c r="I526" s="302">
        <f>ROUND(292.97*G526,2)-O526</f>
        <v>693959.79</v>
      </c>
      <c r="J526" s="48">
        <v>0</v>
      </c>
      <c r="K526" s="48">
        <v>0</v>
      </c>
      <c r="L526" s="48">
        <v>0</v>
      </c>
      <c r="M526" s="69">
        <v>0</v>
      </c>
      <c r="N526" s="48">
        <v>0</v>
      </c>
      <c r="O526" s="48">
        <v>44295.31</v>
      </c>
      <c r="P526" s="48">
        <v>0</v>
      </c>
      <c r="Q526" s="48">
        <v>0</v>
      </c>
      <c r="R526" s="48">
        <v>0</v>
      </c>
      <c r="S526" s="91">
        <f t="shared" si="227"/>
        <v>738255.10000000009</v>
      </c>
      <c r="T526" s="374">
        <v>2017</v>
      </c>
      <c r="U526" s="374">
        <v>2017</v>
      </c>
      <c r="V526" s="374">
        <f t="shared" si="228"/>
        <v>12</v>
      </c>
      <c r="W526" s="138" t="s">
        <v>142</v>
      </c>
      <c r="X526" s="46">
        <v>5</v>
      </c>
    </row>
    <row r="527" spans="1:24" s="23" customFormat="1" ht="18" customHeight="1" x14ac:dyDescent="0.3">
      <c r="A527" s="374">
        <f t="shared" si="224"/>
        <v>450</v>
      </c>
      <c r="B527" s="47" t="s">
        <v>350</v>
      </c>
      <c r="C527" s="46">
        <v>1960</v>
      </c>
      <c r="D527" s="46"/>
      <c r="E527" s="46"/>
      <c r="F527" s="67">
        <v>2751.6</v>
      </c>
      <c r="G527" s="67">
        <v>2049.6</v>
      </c>
      <c r="H527" s="49">
        <f t="shared" si="226"/>
        <v>608013.84</v>
      </c>
      <c r="I527" s="305">
        <v>0</v>
      </c>
      <c r="J527" s="170">
        <v>0</v>
      </c>
      <c r="K527" s="48">
        <v>0</v>
      </c>
      <c r="L527" s="170">
        <v>0</v>
      </c>
      <c r="M527" s="48">
        <v>0</v>
      </c>
      <c r="N527" s="48">
        <f>ROUND(296.65*G527,2)-O527</f>
        <v>571816.15999999992</v>
      </c>
      <c r="O527" s="48">
        <v>36197.68</v>
      </c>
      <c r="P527" s="48">
        <v>0</v>
      </c>
      <c r="Q527" s="48">
        <v>0</v>
      </c>
      <c r="R527" s="48">
        <v>0</v>
      </c>
      <c r="S527" s="91">
        <f t="shared" si="227"/>
        <v>608013.84</v>
      </c>
      <c r="T527" s="374">
        <v>2017</v>
      </c>
      <c r="U527" s="374">
        <v>2017</v>
      </c>
      <c r="V527" s="374">
        <f t="shared" si="228"/>
        <v>13</v>
      </c>
      <c r="W527" s="138" t="s">
        <v>142</v>
      </c>
      <c r="X527" s="46">
        <v>4</v>
      </c>
    </row>
    <row r="528" spans="1:24" s="23" customFormat="1" ht="18" customHeight="1" x14ac:dyDescent="0.3">
      <c r="A528" s="374">
        <f t="shared" si="224"/>
        <v>451</v>
      </c>
      <c r="B528" s="66" t="s">
        <v>96</v>
      </c>
      <c r="C528" s="46">
        <v>1966</v>
      </c>
      <c r="D528" s="46"/>
      <c r="E528" s="46"/>
      <c r="F528" s="67">
        <v>4141.7</v>
      </c>
      <c r="G528" s="67">
        <v>3190.1</v>
      </c>
      <c r="H528" s="49">
        <f t="shared" si="226"/>
        <v>3651898.88</v>
      </c>
      <c r="I528" s="49">
        <v>0</v>
      </c>
      <c r="J528" s="170">
        <v>0</v>
      </c>
      <c r="K528" s="48">
        <v>0</v>
      </c>
      <c r="L528" s="170">
        <v>0</v>
      </c>
      <c r="M528" s="69">
        <f>ROUND(1144.76*G528,2)-O528</f>
        <v>3501166.86</v>
      </c>
      <c r="N528" s="48">
        <v>0</v>
      </c>
      <c r="O528" s="48">
        <v>150732.01999999999</v>
      </c>
      <c r="P528" s="48">
        <v>0</v>
      </c>
      <c r="Q528" s="48">
        <v>0</v>
      </c>
      <c r="R528" s="48">
        <v>0</v>
      </c>
      <c r="S528" s="91">
        <f t="shared" si="227"/>
        <v>3651898.88</v>
      </c>
      <c r="T528" s="374">
        <v>2017</v>
      </c>
      <c r="U528" s="374">
        <v>2017</v>
      </c>
      <c r="V528" s="374">
        <f t="shared" si="228"/>
        <v>14</v>
      </c>
      <c r="W528" s="138" t="s">
        <v>142</v>
      </c>
      <c r="X528" s="46">
        <v>5</v>
      </c>
    </row>
    <row r="529" spans="1:24" s="23" customFormat="1" ht="18" customHeight="1" x14ac:dyDescent="0.3">
      <c r="A529" s="374">
        <f t="shared" si="224"/>
        <v>452</v>
      </c>
      <c r="B529" s="66" t="s">
        <v>354</v>
      </c>
      <c r="C529" s="46">
        <v>1964</v>
      </c>
      <c r="D529" s="46"/>
      <c r="E529" s="46"/>
      <c r="F529" s="67">
        <v>5061.6000000000004</v>
      </c>
      <c r="G529" s="67">
        <v>3270.7</v>
      </c>
      <c r="H529" s="49">
        <f t="shared" si="226"/>
        <v>958216.98</v>
      </c>
      <c r="I529" s="43">
        <f>ROUND(292.97*G529,2)-O529</f>
        <v>900723.96</v>
      </c>
      <c r="J529" s="170">
        <v>0</v>
      </c>
      <c r="K529" s="48">
        <v>0</v>
      </c>
      <c r="L529" s="170">
        <v>0</v>
      </c>
      <c r="M529" s="48">
        <v>0</v>
      </c>
      <c r="N529" s="48">
        <v>0</v>
      </c>
      <c r="O529" s="48">
        <v>57493.02</v>
      </c>
      <c r="P529" s="48">
        <v>0</v>
      </c>
      <c r="Q529" s="48">
        <v>0</v>
      </c>
      <c r="R529" s="48">
        <v>0</v>
      </c>
      <c r="S529" s="91">
        <f t="shared" si="227"/>
        <v>958216.98</v>
      </c>
      <c r="T529" s="374">
        <v>2017</v>
      </c>
      <c r="U529" s="374">
        <v>2017</v>
      </c>
      <c r="V529" s="374">
        <f t="shared" si="228"/>
        <v>15</v>
      </c>
      <c r="W529" s="138" t="s">
        <v>142</v>
      </c>
      <c r="X529" s="46">
        <v>5</v>
      </c>
    </row>
    <row r="530" spans="1:24" s="23" customFormat="1" ht="18" customHeight="1" x14ac:dyDescent="0.3">
      <c r="A530" s="374">
        <f t="shared" si="224"/>
        <v>453</v>
      </c>
      <c r="B530" s="47" t="s">
        <v>361</v>
      </c>
      <c r="C530" s="46">
        <v>1958</v>
      </c>
      <c r="D530" s="46"/>
      <c r="E530" s="46"/>
      <c r="F530" s="67">
        <v>419</v>
      </c>
      <c r="G530" s="67">
        <v>379.7</v>
      </c>
      <c r="H530" s="49">
        <f t="shared" si="226"/>
        <v>284159.89</v>
      </c>
      <c r="I530" s="43">
        <f>ROUND(748.38*G530,2)-O530</f>
        <v>267110.3</v>
      </c>
      <c r="J530" s="170">
        <v>0</v>
      </c>
      <c r="K530" s="48">
        <v>0</v>
      </c>
      <c r="L530" s="170">
        <v>0</v>
      </c>
      <c r="M530" s="48">
        <v>0</v>
      </c>
      <c r="N530" s="48">
        <v>0</v>
      </c>
      <c r="O530" s="48">
        <v>17049.59</v>
      </c>
      <c r="P530" s="48">
        <v>0</v>
      </c>
      <c r="Q530" s="48">
        <v>0</v>
      </c>
      <c r="R530" s="48">
        <v>0</v>
      </c>
      <c r="S530" s="91">
        <f t="shared" si="227"/>
        <v>284159.89</v>
      </c>
      <c r="T530" s="374">
        <v>2017</v>
      </c>
      <c r="U530" s="374">
        <v>2017</v>
      </c>
      <c r="V530" s="374">
        <f t="shared" si="228"/>
        <v>16</v>
      </c>
      <c r="W530" s="138" t="s">
        <v>142</v>
      </c>
      <c r="X530" s="46">
        <v>2</v>
      </c>
    </row>
    <row r="531" spans="1:24" s="23" customFormat="1" ht="18" customHeight="1" x14ac:dyDescent="0.3">
      <c r="A531" s="374">
        <f t="shared" si="224"/>
        <v>454</v>
      </c>
      <c r="B531" s="47" t="s">
        <v>363</v>
      </c>
      <c r="C531" s="46">
        <v>1957</v>
      </c>
      <c r="D531" s="378"/>
      <c r="E531" s="378"/>
      <c r="F531" s="67">
        <v>706.9</v>
      </c>
      <c r="G531" s="67">
        <v>629.1</v>
      </c>
      <c r="H531" s="49">
        <f t="shared" si="226"/>
        <v>470805.86</v>
      </c>
      <c r="I531" s="43">
        <f>ROUND(748.38*G531,2)-O531</f>
        <v>442557.51</v>
      </c>
      <c r="J531" s="48">
        <v>0</v>
      </c>
      <c r="K531" s="48">
        <v>0</v>
      </c>
      <c r="L531" s="48">
        <v>0</v>
      </c>
      <c r="M531" s="48">
        <v>0</v>
      </c>
      <c r="N531" s="48">
        <v>0</v>
      </c>
      <c r="O531" s="48">
        <v>28248.35</v>
      </c>
      <c r="P531" s="48">
        <v>0</v>
      </c>
      <c r="Q531" s="48">
        <v>0</v>
      </c>
      <c r="R531" s="48">
        <v>0</v>
      </c>
      <c r="S531" s="91">
        <f t="shared" si="227"/>
        <v>470805.86</v>
      </c>
      <c r="T531" s="374">
        <v>2017</v>
      </c>
      <c r="U531" s="374">
        <v>2017</v>
      </c>
      <c r="V531" s="374">
        <f t="shared" si="228"/>
        <v>17</v>
      </c>
      <c r="W531" s="138" t="s">
        <v>142</v>
      </c>
      <c r="X531" s="46">
        <v>2</v>
      </c>
    </row>
    <row r="532" spans="1:24" s="23" customFormat="1" ht="18" customHeight="1" x14ac:dyDescent="0.3">
      <c r="A532" s="374">
        <f t="shared" si="224"/>
        <v>455</v>
      </c>
      <c r="B532" s="47" t="s">
        <v>364</v>
      </c>
      <c r="C532" s="376">
        <v>1957</v>
      </c>
      <c r="D532" s="374"/>
      <c r="E532" s="374"/>
      <c r="F532" s="67">
        <v>715.9</v>
      </c>
      <c r="G532" s="67">
        <v>634.4</v>
      </c>
      <c r="H532" s="49">
        <f t="shared" si="226"/>
        <v>474772.27</v>
      </c>
      <c r="I532" s="43">
        <f>ROUND(748.38*G532,2)-O532</f>
        <v>446285.93</v>
      </c>
      <c r="J532" s="48">
        <v>0</v>
      </c>
      <c r="K532" s="48">
        <v>0</v>
      </c>
      <c r="L532" s="48">
        <v>0</v>
      </c>
      <c r="M532" s="48">
        <v>0</v>
      </c>
      <c r="N532" s="48">
        <v>0</v>
      </c>
      <c r="O532" s="48">
        <v>28486.34</v>
      </c>
      <c r="P532" s="48">
        <v>0</v>
      </c>
      <c r="Q532" s="48">
        <v>0</v>
      </c>
      <c r="R532" s="48">
        <v>0</v>
      </c>
      <c r="S532" s="91">
        <f t="shared" si="227"/>
        <v>474772.27</v>
      </c>
      <c r="T532" s="374">
        <v>2017</v>
      </c>
      <c r="U532" s="374">
        <v>2017</v>
      </c>
      <c r="V532" s="374">
        <f t="shared" si="228"/>
        <v>18</v>
      </c>
      <c r="W532" s="138" t="s">
        <v>142</v>
      </c>
      <c r="X532" s="46">
        <v>2</v>
      </c>
    </row>
    <row r="533" spans="1:24" ht="18" customHeight="1" x14ac:dyDescent="0.25">
      <c r="A533" s="417" t="s">
        <v>257</v>
      </c>
      <c r="B533" s="423"/>
      <c r="C533" s="46"/>
      <c r="D533" s="408"/>
      <c r="E533" s="408"/>
      <c r="F533" s="64">
        <f>SUM(F511:F532)</f>
        <v>54996.700000000004</v>
      </c>
      <c r="G533" s="64">
        <f t="shared" ref="G533:H533" si="229">SUM(G511:G532)</f>
        <v>42171.799999999996</v>
      </c>
      <c r="H533" s="45">
        <f t="shared" si="229"/>
        <v>32959475.709999997</v>
      </c>
      <c r="I533" s="45">
        <f t="shared" ref="I533" si="230">SUM(I511:I532)</f>
        <v>13950421.390000002</v>
      </c>
      <c r="J533" s="45">
        <f t="shared" ref="J533" si="231">SUM(J511:J532)</f>
        <v>0</v>
      </c>
      <c r="K533" s="45">
        <f t="shared" ref="K533" si="232">SUM(K511:K532)</f>
        <v>2739339.47</v>
      </c>
      <c r="L533" s="45">
        <f t="shared" ref="L533" si="233">SUM(L511:L532)</f>
        <v>0</v>
      </c>
      <c r="M533" s="45">
        <f t="shared" ref="M533" si="234">SUM(M511:M532)</f>
        <v>13633255.34</v>
      </c>
      <c r="N533" s="45">
        <f t="shared" ref="N533" si="235">SUM(N511:N532)</f>
        <v>961705.62999999989</v>
      </c>
      <c r="O533" s="45">
        <f t="shared" ref="O533" si="236">SUM(O511:O532)</f>
        <v>1674753.8800000004</v>
      </c>
      <c r="P533" s="45">
        <f t="shared" ref="P533" si="237">SUM(P511:P532)</f>
        <v>0</v>
      </c>
      <c r="Q533" s="45">
        <f t="shared" ref="Q533" si="238">SUM(Q511:Q532)</f>
        <v>0</v>
      </c>
      <c r="R533" s="45">
        <f t="shared" ref="R533" si="239">SUM(R511:R532)</f>
        <v>0</v>
      </c>
      <c r="S533" s="45">
        <f t="shared" ref="S533" si="240">SUM(S511:S532)</f>
        <v>32959475.709999997</v>
      </c>
      <c r="T533" s="21" t="s">
        <v>112</v>
      </c>
      <c r="U533" s="21" t="s">
        <v>112</v>
      </c>
      <c r="V533" s="3"/>
    </row>
    <row r="534" spans="1:24" ht="18" customHeight="1" x14ac:dyDescent="0.25">
      <c r="A534" s="427" t="s">
        <v>465</v>
      </c>
      <c r="B534" s="421"/>
      <c r="C534" s="421"/>
      <c r="D534" s="428"/>
      <c r="E534" s="428"/>
      <c r="F534" s="421"/>
      <c r="G534" s="421"/>
      <c r="H534" s="421"/>
      <c r="I534" s="421"/>
      <c r="J534" s="421"/>
      <c r="K534" s="421"/>
      <c r="L534" s="421"/>
      <c r="M534" s="421"/>
      <c r="N534" s="421"/>
      <c r="O534" s="421"/>
      <c r="P534" s="429"/>
      <c r="Q534" s="197"/>
      <c r="R534" s="197"/>
      <c r="S534" s="198"/>
      <c r="T534" s="21"/>
      <c r="U534" s="21"/>
      <c r="V534" s="3"/>
    </row>
    <row r="535" spans="1:24" s="23" customFormat="1" ht="18" customHeight="1" x14ac:dyDescent="0.25">
      <c r="A535" s="376">
        <f>A532+1</f>
        <v>456</v>
      </c>
      <c r="B535" s="413" t="s">
        <v>509</v>
      </c>
      <c r="C535" s="319">
        <v>1972</v>
      </c>
      <c r="D535" s="374"/>
      <c r="E535" s="374"/>
      <c r="F535" s="321">
        <v>4032.8</v>
      </c>
      <c r="G535" s="278">
        <v>3151.3</v>
      </c>
      <c r="H535" s="169">
        <f>I535+J535+K535+L535+M535+N535+O535</f>
        <v>843350.91</v>
      </c>
      <c r="I535" s="279">
        <f>ROUND(G535*267.62,2)-O535</f>
        <v>792749.86</v>
      </c>
      <c r="J535" s="170">
        <v>0</v>
      </c>
      <c r="K535" s="170">
        <v>0</v>
      </c>
      <c r="L535" s="170">
        <v>0</v>
      </c>
      <c r="M535" s="170">
        <v>0</v>
      </c>
      <c r="N535" s="170">
        <v>0</v>
      </c>
      <c r="O535" s="170">
        <v>50601.05</v>
      </c>
      <c r="P535" s="170">
        <v>0</v>
      </c>
      <c r="Q535" s="170">
        <v>0</v>
      </c>
      <c r="R535" s="170">
        <v>0</v>
      </c>
      <c r="S535" s="171">
        <f>H535</f>
        <v>843350.91</v>
      </c>
      <c r="T535" s="243">
        <v>2016</v>
      </c>
      <c r="U535" s="243">
        <v>2017</v>
      </c>
      <c r="V535" s="374">
        <v>1</v>
      </c>
      <c r="W535" s="255" t="s">
        <v>141</v>
      </c>
      <c r="X535" s="258">
        <v>5</v>
      </c>
    </row>
    <row r="536" spans="1:24" s="23" customFormat="1" ht="18" customHeight="1" x14ac:dyDescent="0.25">
      <c r="A536" s="376">
        <f>A535+1</f>
        <v>457</v>
      </c>
      <c r="B536" s="280" t="s">
        <v>510</v>
      </c>
      <c r="C536" s="281">
        <v>1988</v>
      </c>
      <c r="D536" s="374"/>
      <c r="E536" s="374"/>
      <c r="F536" s="278">
        <v>3996.6</v>
      </c>
      <c r="G536" s="282">
        <v>3475.7</v>
      </c>
      <c r="H536" s="169">
        <f>I536+J536+K536+L536+M536+N536+O536</f>
        <v>824887.88</v>
      </c>
      <c r="I536" s="69">
        <v>0</v>
      </c>
      <c r="J536" s="170">
        <v>0</v>
      </c>
      <c r="K536" s="170">
        <v>0</v>
      </c>
      <c r="L536" s="170">
        <f>ROUND(G536*237.33,2)-O536</f>
        <v>775394.61</v>
      </c>
      <c r="M536" s="170">
        <v>0</v>
      </c>
      <c r="N536" s="170">
        <v>0</v>
      </c>
      <c r="O536" s="170">
        <v>49493.27</v>
      </c>
      <c r="P536" s="170">
        <v>0</v>
      </c>
      <c r="Q536" s="170">
        <v>0</v>
      </c>
      <c r="R536" s="170">
        <v>0</v>
      </c>
      <c r="S536" s="171">
        <f>H536</f>
        <v>824887.88</v>
      </c>
      <c r="T536" s="243">
        <v>2016</v>
      </c>
      <c r="U536" s="243">
        <v>2017</v>
      </c>
      <c r="V536" s="374">
        <f>V535+1</f>
        <v>2</v>
      </c>
      <c r="W536" s="255" t="s">
        <v>141</v>
      </c>
      <c r="X536" s="258">
        <v>5</v>
      </c>
    </row>
    <row r="537" spans="1:24" s="23" customFormat="1" ht="18" customHeight="1" x14ac:dyDescent="0.25">
      <c r="A537" s="376">
        <f>A536+1</f>
        <v>458</v>
      </c>
      <c r="B537" s="280" t="s">
        <v>511</v>
      </c>
      <c r="C537" s="281" t="s">
        <v>466</v>
      </c>
      <c r="D537" s="374"/>
      <c r="E537" s="374"/>
      <c r="F537" s="320">
        <v>3508.4</v>
      </c>
      <c r="G537" s="278">
        <v>3045.5</v>
      </c>
      <c r="H537" s="169">
        <f>I537+J537+K537+L537+M537+N537+O537</f>
        <v>815036.71</v>
      </c>
      <c r="I537" s="322">
        <f>ROUND(G537*267.62,2)-O537</f>
        <v>766134.51</v>
      </c>
      <c r="J537" s="170">
        <v>0</v>
      </c>
      <c r="K537" s="170">
        <v>0</v>
      </c>
      <c r="L537" s="170">
        <v>0</v>
      </c>
      <c r="M537" s="170">
        <v>0</v>
      </c>
      <c r="N537" s="170">
        <v>0</v>
      </c>
      <c r="O537" s="170">
        <v>48902.2</v>
      </c>
      <c r="P537" s="170">
        <v>0</v>
      </c>
      <c r="Q537" s="170">
        <v>0</v>
      </c>
      <c r="R537" s="170">
        <v>0</v>
      </c>
      <c r="S537" s="171">
        <f>H537</f>
        <v>815036.71</v>
      </c>
      <c r="T537" s="243">
        <v>2016</v>
      </c>
      <c r="U537" s="243">
        <v>2017</v>
      </c>
      <c r="V537" s="374">
        <f t="shared" ref="V537" si="241">V536+1</f>
        <v>3</v>
      </c>
      <c r="W537" s="255" t="s">
        <v>141</v>
      </c>
      <c r="X537" s="258">
        <v>5</v>
      </c>
    </row>
    <row r="538" spans="1:24" ht="18" customHeight="1" x14ac:dyDescent="0.25">
      <c r="A538" s="430" t="s">
        <v>257</v>
      </c>
      <c r="B538" s="431"/>
      <c r="C538" s="407"/>
      <c r="D538" s="407"/>
      <c r="E538" s="199"/>
      <c r="F538" s="199">
        <f>SUM(F535:F537)</f>
        <v>11537.8</v>
      </c>
      <c r="G538" s="196">
        <f>SUM(G535:G537)</f>
        <v>9672.5</v>
      </c>
      <c r="H538" s="197">
        <f>SUM(H535:H537)</f>
        <v>2483275.5</v>
      </c>
      <c r="I538" s="197">
        <f>SUM(I535:I537)</f>
        <v>1558884.37</v>
      </c>
      <c r="J538" s="197">
        <f t="shared" ref="J538:O538" si="242">SUM(J535:J537)</f>
        <v>0</v>
      </c>
      <c r="K538" s="197">
        <f t="shared" si="242"/>
        <v>0</v>
      </c>
      <c r="L538" s="197">
        <f t="shared" si="242"/>
        <v>775394.61</v>
      </c>
      <c r="M538" s="197">
        <f t="shared" si="242"/>
        <v>0</v>
      </c>
      <c r="N538" s="197">
        <f t="shared" si="242"/>
        <v>0</v>
      </c>
      <c r="O538" s="197">
        <f t="shared" si="242"/>
        <v>148996.52000000002</v>
      </c>
      <c r="P538" s="197">
        <f t="shared" ref="P538" si="243">SUM(P535:P537)</f>
        <v>0</v>
      </c>
      <c r="Q538" s="197">
        <f t="shared" ref="Q538" si="244">SUM(Q535:Q537)</f>
        <v>0</v>
      </c>
      <c r="R538" s="197">
        <f t="shared" ref="R538" si="245">SUM(R535:R537)</f>
        <v>0</v>
      </c>
      <c r="S538" s="197">
        <f t="shared" ref="S538" si="246">SUM(S535:S537)</f>
        <v>2483275.5</v>
      </c>
      <c r="T538" s="21" t="s">
        <v>112</v>
      </c>
      <c r="U538" s="21" t="s">
        <v>112</v>
      </c>
      <c r="V538" s="3"/>
      <c r="W538" s="2"/>
      <c r="X538" s="23"/>
    </row>
    <row r="539" spans="1:24" ht="18" customHeight="1" x14ac:dyDescent="0.25">
      <c r="A539" s="417" t="s">
        <v>398</v>
      </c>
      <c r="B539" s="418"/>
      <c r="C539" s="52"/>
      <c r="D539" s="52"/>
      <c r="E539" s="192"/>
      <c r="F539" s="53">
        <f>F509+F533+F538</f>
        <v>125862.1</v>
      </c>
      <c r="G539" s="53">
        <f>G509+G533+G538</f>
        <v>101846.29999999999</v>
      </c>
      <c r="H539" s="51">
        <f>H509+H533+H538</f>
        <v>65350776.498999998</v>
      </c>
      <c r="I539" s="51">
        <f t="shared" ref="I539:S539" si="247">I509+I533+I538</f>
        <v>36942787.169999994</v>
      </c>
      <c r="J539" s="51">
        <f t="shared" si="247"/>
        <v>2961856.62</v>
      </c>
      <c r="K539" s="51">
        <f t="shared" si="247"/>
        <v>6257711.2300000004</v>
      </c>
      <c r="L539" s="51">
        <f t="shared" si="247"/>
        <v>775394.61</v>
      </c>
      <c r="M539" s="51">
        <f t="shared" si="247"/>
        <v>14114718.159</v>
      </c>
      <c r="N539" s="51">
        <f t="shared" si="247"/>
        <v>961705.62999999989</v>
      </c>
      <c r="O539" s="51">
        <f t="shared" si="247"/>
        <v>3336603.0800000005</v>
      </c>
      <c r="P539" s="51">
        <f t="shared" si="247"/>
        <v>0</v>
      </c>
      <c r="Q539" s="51">
        <f t="shared" si="247"/>
        <v>0</v>
      </c>
      <c r="R539" s="51">
        <f t="shared" si="247"/>
        <v>0</v>
      </c>
      <c r="S539" s="51">
        <f t="shared" si="247"/>
        <v>65350776.498999998</v>
      </c>
      <c r="T539" s="21" t="s">
        <v>112</v>
      </c>
      <c r="U539" s="21" t="s">
        <v>112</v>
      </c>
      <c r="V539" s="3"/>
      <c r="W539" s="3"/>
    </row>
    <row r="540" spans="1:24" ht="18" customHeight="1" x14ac:dyDescent="0.25">
      <c r="A540" s="419" t="s">
        <v>100</v>
      </c>
      <c r="B540" s="420"/>
      <c r="C540" s="420"/>
      <c r="D540" s="420"/>
      <c r="E540" s="421"/>
      <c r="F540" s="420"/>
      <c r="G540" s="420"/>
      <c r="H540" s="420"/>
      <c r="I540" s="420"/>
      <c r="J540" s="420"/>
      <c r="K540" s="420"/>
      <c r="L540" s="420"/>
      <c r="M540" s="420"/>
      <c r="N540" s="420"/>
      <c r="O540" s="420"/>
      <c r="P540" s="420"/>
      <c r="Q540" s="420"/>
      <c r="R540" s="420"/>
      <c r="S540" s="422"/>
      <c r="T540" s="22"/>
      <c r="U540" s="22"/>
      <c r="V540" s="22"/>
    </row>
    <row r="541" spans="1:24" s="351" customFormat="1" ht="18" customHeight="1" x14ac:dyDescent="0.25">
      <c r="A541" s="374">
        <f>A537+1</f>
        <v>459</v>
      </c>
      <c r="B541" s="65" t="s">
        <v>608</v>
      </c>
      <c r="C541" s="352" t="s">
        <v>99</v>
      </c>
      <c r="D541" s="374"/>
      <c r="E541" s="374"/>
      <c r="F541" s="224">
        <v>526.9</v>
      </c>
      <c r="G541" s="312">
        <v>339.3</v>
      </c>
      <c r="H541" s="305">
        <f t="shared" ref="H541:H546" si="248">I541+J541+K541+L541+M541+N541+O541</f>
        <v>1311163.78</v>
      </c>
      <c r="I541" s="69">
        <f>ROUND((87.53+137.04+166.65+412.58+493.96)*339.3,2)</f>
        <v>440329.97</v>
      </c>
      <c r="J541" s="69">
        <v>0</v>
      </c>
      <c r="K541" s="69">
        <v>0</v>
      </c>
      <c r="L541" s="69">
        <v>0</v>
      </c>
      <c r="M541" s="69">
        <f>ROUND(2566.56*339.3,2)</f>
        <v>870833.81</v>
      </c>
      <c r="N541" s="69">
        <v>0</v>
      </c>
      <c r="O541" s="69">
        <v>0</v>
      </c>
      <c r="P541" s="69">
        <v>0</v>
      </c>
      <c r="Q541" s="69">
        <v>0</v>
      </c>
      <c r="R541" s="69">
        <v>0</v>
      </c>
      <c r="S541" s="305">
        <f t="shared" ref="S541:S546" si="249">H541</f>
        <v>1311163.78</v>
      </c>
      <c r="T541" s="374">
        <v>2016</v>
      </c>
      <c r="U541" s="374">
        <v>2017</v>
      </c>
      <c r="V541" s="353">
        <v>1</v>
      </c>
    </row>
    <row r="542" spans="1:24" s="351" customFormat="1" ht="18" customHeight="1" x14ac:dyDescent="0.25">
      <c r="A542" s="374">
        <f t="shared" ref="A542:A549" si="250">A541+1</f>
        <v>460</v>
      </c>
      <c r="B542" s="65" t="s">
        <v>609</v>
      </c>
      <c r="C542" s="352" t="s">
        <v>99</v>
      </c>
      <c r="D542" s="374"/>
      <c r="E542" s="374"/>
      <c r="F542" s="224">
        <v>534.70000000000005</v>
      </c>
      <c r="G542" s="312">
        <v>349.4</v>
      </c>
      <c r="H542" s="305">
        <f t="shared" si="248"/>
        <v>1350193.4000000001</v>
      </c>
      <c r="I542" s="69">
        <f>ROUND((87.53+137.04+166.65+412.58+493.96)*349.4,2)</f>
        <v>453437.34</v>
      </c>
      <c r="J542" s="69">
        <v>0</v>
      </c>
      <c r="K542" s="69">
        <v>0</v>
      </c>
      <c r="L542" s="69">
        <v>0</v>
      </c>
      <c r="M542" s="69">
        <f>ROUND(2566.56*349.4,2)</f>
        <v>896756.06</v>
      </c>
      <c r="N542" s="69">
        <v>0</v>
      </c>
      <c r="O542" s="69">
        <v>0</v>
      </c>
      <c r="P542" s="69">
        <v>0</v>
      </c>
      <c r="Q542" s="69">
        <v>0</v>
      </c>
      <c r="R542" s="69">
        <v>0</v>
      </c>
      <c r="S542" s="305">
        <f t="shared" si="249"/>
        <v>1350193.4000000001</v>
      </c>
      <c r="T542" s="374">
        <v>2016</v>
      </c>
      <c r="U542" s="374">
        <v>2017</v>
      </c>
      <c r="V542" s="353">
        <f>V541+1</f>
        <v>2</v>
      </c>
    </row>
    <row r="543" spans="1:24" s="351" customFormat="1" ht="18" customHeight="1" x14ac:dyDescent="0.25">
      <c r="A543" s="374">
        <f t="shared" si="250"/>
        <v>461</v>
      </c>
      <c r="B543" s="65" t="s">
        <v>610</v>
      </c>
      <c r="C543" s="352" t="s">
        <v>74</v>
      </c>
      <c r="D543" s="374"/>
      <c r="E543" s="374"/>
      <c r="F543" s="224">
        <f>438.1+51</f>
        <v>489.1</v>
      </c>
      <c r="G543" s="312">
        <v>438.1</v>
      </c>
      <c r="H543" s="305">
        <f t="shared" si="248"/>
        <v>679147</v>
      </c>
      <c r="I543" s="69">
        <f>ROUND((332.83+142.05+215.19+167.2+692.94)*G543,2)-O543</f>
        <v>648608.6</v>
      </c>
      <c r="J543" s="69">
        <v>0</v>
      </c>
      <c r="K543" s="69">
        <v>0</v>
      </c>
      <c r="L543" s="69">
        <v>0</v>
      </c>
      <c r="M543" s="69">
        <v>0</v>
      </c>
      <c r="N543" s="69">
        <v>0</v>
      </c>
      <c r="O543" s="69">
        <v>30538.400000000001</v>
      </c>
      <c r="P543" s="69">
        <v>0</v>
      </c>
      <c r="Q543" s="69">
        <v>0</v>
      </c>
      <c r="R543" s="69">
        <v>0</v>
      </c>
      <c r="S543" s="305">
        <f t="shared" si="249"/>
        <v>679147</v>
      </c>
      <c r="T543" s="374">
        <v>2016</v>
      </c>
      <c r="U543" s="374">
        <v>2017</v>
      </c>
      <c r="V543" s="353">
        <f t="shared" ref="V543:V546" si="251">V542+1</f>
        <v>3</v>
      </c>
      <c r="W543" s="351" t="s">
        <v>611</v>
      </c>
    </row>
    <row r="544" spans="1:24" s="351" customFormat="1" ht="18" customHeight="1" x14ac:dyDescent="0.25">
      <c r="A544" s="374">
        <f t="shared" si="250"/>
        <v>462</v>
      </c>
      <c r="B544" s="65" t="s">
        <v>612</v>
      </c>
      <c r="C544" s="352" t="s">
        <v>613</v>
      </c>
      <c r="D544" s="374"/>
      <c r="E544" s="374"/>
      <c r="F544" s="224">
        <v>516.4</v>
      </c>
      <c r="G544" s="312">
        <v>325.7</v>
      </c>
      <c r="H544" s="305">
        <f t="shared" si="248"/>
        <v>422680.43</v>
      </c>
      <c r="I544" s="69">
        <f>ROUND((87.53+137.04+166.65+412.58+493.96)*325.7,2)</f>
        <v>422680.43</v>
      </c>
      <c r="J544" s="69">
        <v>0</v>
      </c>
      <c r="K544" s="69">
        <v>0</v>
      </c>
      <c r="L544" s="69">
        <v>0</v>
      </c>
      <c r="M544" s="69">
        <v>0</v>
      </c>
      <c r="N544" s="69">
        <v>0</v>
      </c>
      <c r="O544" s="69">
        <v>0</v>
      </c>
      <c r="P544" s="69">
        <v>0</v>
      </c>
      <c r="Q544" s="69">
        <v>0</v>
      </c>
      <c r="R544" s="69">
        <v>0</v>
      </c>
      <c r="S544" s="305">
        <f t="shared" si="249"/>
        <v>422680.43</v>
      </c>
      <c r="T544" s="374">
        <v>2016</v>
      </c>
      <c r="U544" s="374">
        <v>2017</v>
      </c>
      <c r="V544" s="353">
        <f t="shared" si="251"/>
        <v>4</v>
      </c>
    </row>
    <row r="545" spans="1:24" s="351" customFormat="1" ht="18" customHeight="1" x14ac:dyDescent="0.25">
      <c r="A545" s="374">
        <f t="shared" si="250"/>
        <v>463</v>
      </c>
      <c r="B545" s="65" t="s">
        <v>614</v>
      </c>
      <c r="C545" s="352" t="s">
        <v>74</v>
      </c>
      <c r="D545" s="374"/>
      <c r="E545" s="374"/>
      <c r="F545" s="224">
        <v>273.39999999999998</v>
      </c>
      <c r="G545" s="399">
        <v>251</v>
      </c>
      <c r="H545" s="305">
        <f t="shared" si="248"/>
        <v>26422.77</v>
      </c>
      <c r="I545" s="69">
        <v>0</v>
      </c>
      <c r="J545" s="69">
        <v>0</v>
      </c>
      <c r="K545" s="69">
        <v>0</v>
      </c>
      <c r="L545" s="69">
        <v>0</v>
      </c>
      <c r="M545" s="69">
        <v>0</v>
      </c>
      <c r="N545" s="69">
        <f>ROUND(105.27*G545,2)-O545</f>
        <v>24924.3</v>
      </c>
      <c r="O545" s="69">
        <v>1498.47</v>
      </c>
      <c r="P545" s="69">
        <v>0</v>
      </c>
      <c r="Q545" s="69">
        <v>0</v>
      </c>
      <c r="R545" s="69">
        <v>0</v>
      </c>
      <c r="S545" s="305">
        <f t="shared" si="249"/>
        <v>26422.77</v>
      </c>
      <c r="T545" s="374">
        <v>2016</v>
      </c>
      <c r="U545" s="374">
        <v>2017</v>
      </c>
      <c r="V545" s="353">
        <f t="shared" si="251"/>
        <v>5</v>
      </c>
    </row>
    <row r="546" spans="1:24" s="351" customFormat="1" ht="18" customHeight="1" x14ac:dyDescent="0.25">
      <c r="A546" s="374">
        <f t="shared" si="250"/>
        <v>464</v>
      </c>
      <c r="B546" s="65" t="s">
        <v>615</v>
      </c>
      <c r="C546" s="352" t="s">
        <v>74</v>
      </c>
      <c r="D546" s="374"/>
      <c r="E546" s="374"/>
      <c r="F546" s="224">
        <f>421.8+50.4</f>
        <v>472.2</v>
      </c>
      <c r="G546" s="312">
        <v>421.8</v>
      </c>
      <c r="H546" s="305">
        <f t="shared" si="248"/>
        <v>44402.89</v>
      </c>
      <c r="I546" s="69">
        <v>0</v>
      </c>
      <c r="J546" s="69">
        <v>0</v>
      </c>
      <c r="K546" s="69">
        <v>0</v>
      </c>
      <c r="L546" s="69">
        <v>0</v>
      </c>
      <c r="M546" s="69">
        <v>0</v>
      </c>
      <c r="N546" s="69">
        <f>ROUND(105.27*G546,2)-O546</f>
        <v>41884.74</v>
      </c>
      <c r="O546" s="69">
        <v>2518.15</v>
      </c>
      <c r="P546" s="69">
        <v>0</v>
      </c>
      <c r="Q546" s="69">
        <v>0</v>
      </c>
      <c r="R546" s="69">
        <v>0</v>
      </c>
      <c r="S546" s="305">
        <f t="shared" si="249"/>
        <v>44402.89</v>
      </c>
      <c r="T546" s="374">
        <v>2016</v>
      </c>
      <c r="U546" s="374">
        <v>2017</v>
      </c>
      <c r="V546" s="353">
        <f t="shared" si="251"/>
        <v>6</v>
      </c>
    </row>
    <row r="547" spans="1:24" ht="18" customHeight="1" x14ac:dyDescent="0.25">
      <c r="A547" s="374">
        <f t="shared" si="250"/>
        <v>465</v>
      </c>
      <c r="B547" s="47" t="s">
        <v>512</v>
      </c>
      <c r="C547" s="46">
        <v>1982</v>
      </c>
      <c r="D547" s="46"/>
      <c r="E547" s="176"/>
      <c r="F547" s="61">
        <v>5214.2</v>
      </c>
      <c r="G547" s="31">
        <v>4364.1000000000004</v>
      </c>
      <c r="H547" s="49">
        <f>I547+J547+K547+L547+M547+N547+O547</f>
        <v>4680279.05</v>
      </c>
      <c r="I547" s="48">
        <v>0</v>
      </c>
      <c r="J547" s="48">
        <v>0</v>
      </c>
      <c r="K547" s="69">
        <f>ROUND(1072.45*G547,2)-O547</f>
        <v>4583677.17</v>
      </c>
      <c r="L547" s="48">
        <v>0</v>
      </c>
      <c r="M547" s="48">
        <v>0</v>
      </c>
      <c r="N547" s="48">
        <v>0</v>
      </c>
      <c r="O547" s="48">
        <v>96601.88</v>
      </c>
      <c r="P547" s="48">
        <v>0</v>
      </c>
      <c r="Q547" s="48">
        <v>0</v>
      </c>
      <c r="R547" s="48">
        <v>0</v>
      </c>
      <c r="S547" s="91">
        <f>H547</f>
        <v>4680279.05</v>
      </c>
      <c r="T547" s="374">
        <v>2017</v>
      </c>
      <c r="U547" s="374">
        <v>2017</v>
      </c>
      <c r="V547" s="374">
        <v>1</v>
      </c>
      <c r="W547" s="255" t="s">
        <v>141</v>
      </c>
      <c r="X547" s="258">
        <v>5</v>
      </c>
    </row>
    <row r="548" spans="1:24" ht="18" customHeight="1" x14ac:dyDescent="0.25">
      <c r="A548" s="374">
        <f t="shared" si="250"/>
        <v>466</v>
      </c>
      <c r="B548" s="47" t="s">
        <v>513</v>
      </c>
      <c r="C548" s="46">
        <v>1992</v>
      </c>
      <c r="D548" s="46"/>
      <c r="E548" s="176"/>
      <c r="F548" s="61">
        <v>2398.1999999999998</v>
      </c>
      <c r="G548" s="31">
        <v>1328</v>
      </c>
      <c r="H548" s="49">
        <f>I548+J548+K548+L548+M548+N548+O548</f>
        <v>1424213.6</v>
      </c>
      <c r="I548" s="48">
        <v>0</v>
      </c>
      <c r="J548" s="48">
        <v>0</v>
      </c>
      <c r="K548" s="69">
        <f>ROUND(1072.45*G548,2)-O548</f>
        <v>1351430.02</v>
      </c>
      <c r="L548" s="48">
        <v>0</v>
      </c>
      <c r="M548" s="48">
        <v>0</v>
      </c>
      <c r="N548" s="48">
        <v>0</v>
      </c>
      <c r="O548" s="48">
        <v>72783.58</v>
      </c>
      <c r="P548" s="48">
        <v>0</v>
      </c>
      <c r="Q548" s="48">
        <v>0</v>
      </c>
      <c r="R548" s="48">
        <v>0</v>
      </c>
      <c r="S548" s="91">
        <f>H548</f>
        <v>1424213.6</v>
      </c>
      <c r="T548" s="374">
        <v>2017</v>
      </c>
      <c r="U548" s="374">
        <v>2017</v>
      </c>
      <c r="V548" s="374">
        <f>V547+1</f>
        <v>2</v>
      </c>
      <c r="W548" s="255" t="s">
        <v>141</v>
      </c>
      <c r="X548" s="258">
        <v>5</v>
      </c>
    </row>
    <row r="549" spans="1:24" ht="18" customHeight="1" x14ac:dyDescent="0.25">
      <c r="A549" s="374">
        <f t="shared" si="250"/>
        <v>467</v>
      </c>
      <c r="B549" s="65" t="s">
        <v>514</v>
      </c>
      <c r="C549" s="46">
        <v>1985</v>
      </c>
      <c r="D549" s="46"/>
      <c r="E549" s="176"/>
      <c r="F549" s="61">
        <v>1354.8</v>
      </c>
      <c r="G549" s="31">
        <v>829.9</v>
      </c>
      <c r="H549" s="49">
        <f>I549+J549+K549+L549+M549+N549+O549</f>
        <v>890026.26</v>
      </c>
      <c r="I549" s="48">
        <v>0</v>
      </c>
      <c r="J549" s="48">
        <v>0</v>
      </c>
      <c r="K549" s="69">
        <f>ROUND(1072.45*G549,2)-O549</f>
        <v>836624.68</v>
      </c>
      <c r="L549" s="48">
        <v>0</v>
      </c>
      <c r="M549" s="48">
        <v>0</v>
      </c>
      <c r="N549" s="48">
        <v>0</v>
      </c>
      <c r="O549" s="48">
        <v>53401.58</v>
      </c>
      <c r="P549" s="48">
        <v>0</v>
      </c>
      <c r="Q549" s="48">
        <v>0</v>
      </c>
      <c r="R549" s="48">
        <v>0</v>
      </c>
      <c r="S549" s="91">
        <f>H549</f>
        <v>890026.26</v>
      </c>
      <c r="T549" s="374">
        <v>2017</v>
      </c>
      <c r="U549" s="374">
        <v>2017</v>
      </c>
      <c r="V549" s="374">
        <f t="shared" ref="V549" si="252">V548+1</f>
        <v>3</v>
      </c>
      <c r="W549" s="255" t="s">
        <v>141</v>
      </c>
      <c r="X549" s="258">
        <v>3</v>
      </c>
    </row>
    <row r="550" spans="1:24" ht="18" customHeight="1" x14ac:dyDescent="0.25">
      <c r="A550" s="417" t="s">
        <v>257</v>
      </c>
      <c r="B550" s="423"/>
      <c r="C550" s="78"/>
      <c r="D550" s="78"/>
      <c r="E550" s="190"/>
      <c r="F550" s="131">
        <f>SUM(F541:F549)</f>
        <v>11779.899999999998</v>
      </c>
      <c r="G550" s="131">
        <f t="shared" ref="G550:H550" si="253">SUM(G541:G549)</f>
        <v>8647.3000000000011</v>
      </c>
      <c r="H550" s="70">
        <f t="shared" si="253"/>
        <v>10828529.18</v>
      </c>
      <c r="I550" s="70">
        <f t="shared" ref="I550" si="254">SUM(I541:I549)</f>
        <v>1965056.34</v>
      </c>
      <c r="J550" s="70">
        <f t="shared" ref="J550" si="255">SUM(J541:J549)</f>
        <v>0</v>
      </c>
      <c r="K550" s="70">
        <f t="shared" ref="K550" si="256">SUM(K541:K549)</f>
        <v>6771731.8699999992</v>
      </c>
      <c r="L550" s="70">
        <f t="shared" ref="L550" si="257">SUM(L541:L549)</f>
        <v>0</v>
      </c>
      <c r="M550" s="70">
        <f t="shared" ref="M550" si="258">SUM(M541:M549)</f>
        <v>1767589.87</v>
      </c>
      <c r="N550" s="70">
        <f t="shared" ref="N550" si="259">SUM(N541:N549)</f>
        <v>66809.039999999994</v>
      </c>
      <c r="O550" s="70">
        <f t="shared" ref="O550" si="260">SUM(O541:O549)</f>
        <v>257342.06000000006</v>
      </c>
      <c r="P550" s="70">
        <f t="shared" ref="P550" si="261">SUM(P541:P549)</f>
        <v>0</v>
      </c>
      <c r="Q550" s="70">
        <f t="shared" ref="Q550" si="262">SUM(Q541:Q549)</f>
        <v>0</v>
      </c>
      <c r="R550" s="70">
        <f t="shared" ref="R550" si="263">SUM(R541:R549)</f>
        <v>0</v>
      </c>
      <c r="S550" s="70">
        <f t="shared" ref="S550" si="264">SUM(S541:S549)</f>
        <v>10828529.18</v>
      </c>
      <c r="T550" s="21" t="s">
        <v>112</v>
      </c>
      <c r="U550" s="21" t="s">
        <v>112</v>
      </c>
      <c r="V550" s="3"/>
    </row>
    <row r="551" spans="1:24" ht="18" customHeight="1" x14ac:dyDescent="0.25">
      <c r="A551" s="424" t="s">
        <v>258</v>
      </c>
      <c r="B551" s="425"/>
      <c r="C551" s="78"/>
      <c r="D551" s="78"/>
      <c r="E551" s="190"/>
      <c r="F551" s="131">
        <f t="shared" ref="F551:S551" si="265">F550</f>
        <v>11779.899999999998</v>
      </c>
      <c r="G551" s="131">
        <f t="shared" si="265"/>
        <v>8647.3000000000011</v>
      </c>
      <c r="H551" s="79">
        <f t="shared" si="265"/>
        <v>10828529.18</v>
      </c>
      <c r="I551" s="70">
        <f t="shared" si="265"/>
        <v>1965056.34</v>
      </c>
      <c r="J551" s="70">
        <f t="shared" si="265"/>
        <v>0</v>
      </c>
      <c r="K551" s="70">
        <f t="shared" si="265"/>
        <v>6771731.8699999992</v>
      </c>
      <c r="L551" s="70">
        <f t="shared" si="265"/>
        <v>0</v>
      </c>
      <c r="M551" s="70">
        <f t="shared" si="265"/>
        <v>1767589.87</v>
      </c>
      <c r="N551" s="70">
        <f t="shared" si="265"/>
        <v>66809.039999999994</v>
      </c>
      <c r="O551" s="70">
        <f t="shared" si="265"/>
        <v>257342.06000000006</v>
      </c>
      <c r="P551" s="70">
        <f t="shared" si="265"/>
        <v>0</v>
      </c>
      <c r="Q551" s="70">
        <f t="shared" si="265"/>
        <v>0</v>
      </c>
      <c r="R551" s="70">
        <f t="shared" si="265"/>
        <v>0</v>
      </c>
      <c r="S551" s="92">
        <f t="shared" si="265"/>
        <v>10828529.18</v>
      </c>
      <c r="T551" s="80" t="s">
        <v>112</v>
      </c>
      <c r="U551" s="80" t="s">
        <v>112</v>
      </c>
      <c r="V551" s="3"/>
    </row>
    <row r="552" spans="1:24" x14ac:dyDescent="0.25">
      <c r="A552" s="81"/>
      <c r="B552" s="81"/>
      <c r="C552" s="82"/>
      <c r="D552" s="82"/>
      <c r="E552" s="82"/>
      <c r="F552" s="95"/>
      <c r="G552" s="107"/>
      <c r="H552" s="83"/>
      <c r="I552" s="81"/>
      <c r="J552" s="81"/>
      <c r="K552" s="81"/>
      <c r="L552" s="81"/>
      <c r="M552" s="81"/>
      <c r="N552" s="81"/>
      <c r="O552" s="81"/>
      <c r="P552" s="81"/>
      <c r="Q552" s="81"/>
      <c r="R552" s="81"/>
      <c r="S552" s="95"/>
      <c r="T552" s="81"/>
      <c r="U552" s="81"/>
      <c r="V552" s="348"/>
    </row>
    <row r="553" spans="1:24" ht="18.75" customHeight="1" x14ac:dyDescent="0.25">
      <c r="A553" s="426" t="s">
        <v>447</v>
      </c>
      <c r="B553" s="426"/>
      <c r="C553" s="426"/>
      <c r="D553" s="426"/>
      <c r="E553" s="426"/>
      <c r="F553" s="426"/>
      <c r="G553" s="426"/>
      <c r="H553" s="426"/>
      <c r="I553" s="426"/>
      <c r="J553" s="426"/>
      <c r="K553" s="426"/>
      <c r="L553" s="426"/>
      <c r="M553" s="426"/>
      <c r="N553" s="426"/>
      <c r="O553" s="426"/>
      <c r="P553" s="426"/>
      <c r="Q553" s="426"/>
      <c r="R553" s="426"/>
      <c r="S553" s="426"/>
      <c r="T553" s="27"/>
      <c r="U553" s="27"/>
      <c r="V553" s="27"/>
    </row>
    <row r="554" spans="1:24" ht="45.75" customHeight="1" x14ac:dyDescent="0.25">
      <c r="A554" s="415" t="s">
        <v>625</v>
      </c>
      <c r="B554" s="415"/>
      <c r="C554" s="415"/>
      <c r="D554" s="415"/>
      <c r="E554" s="415"/>
      <c r="F554" s="415"/>
      <c r="G554" s="415"/>
      <c r="H554" s="415"/>
      <c r="I554" s="415"/>
      <c r="J554" s="415"/>
      <c r="K554" s="415"/>
      <c r="L554" s="415"/>
      <c r="M554" s="415"/>
      <c r="N554" s="415"/>
      <c r="O554" s="415"/>
      <c r="P554" s="415"/>
      <c r="Q554" s="415"/>
      <c r="R554" s="415"/>
      <c r="S554" s="415"/>
    </row>
    <row r="555" spans="1:24" ht="15.6" x14ac:dyDescent="0.3">
      <c r="A555" s="415"/>
      <c r="B555" s="415"/>
      <c r="C555" s="415"/>
      <c r="D555" s="415"/>
      <c r="E555" s="415"/>
      <c r="F555" s="415"/>
      <c r="G555" s="415"/>
      <c r="H555" s="415"/>
      <c r="I555" s="415"/>
      <c r="J555" s="415"/>
      <c r="K555" s="415"/>
      <c r="L555" s="415"/>
      <c r="M555" s="415"/>
      <c r="N555" s="415"/>
      <c r="O555" s="415"/>
      <c r="P555" s="72"/>
      <c r="Q555" s="72"/>
      <c r="R555" s="72"/>
      <c r="S555" s="96"/>
    </row>
    <row r="556" spans="1:24" ht="18" hidden="1" x14ac:dyDescent="0.25">
      <c r="A556" s="416" t="s">
        <v>134</v>
      </c>
      <c r="B556" s="416"/>
      <c r="C556" s="416"/>
      <c r="D556" s="416"/>
      <c r="E556" s="416"/>
      <c r="F556" s="416"/>
      <c r="G556" s="416"/>
      <c r="H556" s="416"/>
      <c r="I556" s="416"/>
      <c r="M556" s="73" t="e">
        <f>19217747.28-P556</f>
        <v>#REF!</v>
      </c>
      <c r="N556" s="73"/>
      <c r="O556" s="73"/>
      <c r="P556" s="73" t="e">
        <f>#REF!+#REF!+#REF!+#REF!+#REF!+#REF!+#REF!+#REF!+#REF!+#REF!+#REF!+#REF!+#REF!+#REF!+#REF!+#REF!+#REF!+#REF!+#REF!+#REF!+#REF!+#REF!</f>
        <v>#REF!</v>
      </c>
      <c r="Q556" s="73" t="e">
        <f>#REF!+#REF!+#REF!+#REF!+#REF!+#REF!+#REF!+#REF!+#REF!+#REF!+#REF!+#REF!+#REF!+#REF!+#REF!+#REF!+#REF!+#REF!+#REF!+#REF!+#REF!+#REF!</f>
        <v>#REF!</v>
      </c>
      <c r="R556" s="73" t="e">
        <f>#REF!+#REF!+#REF!+#REF!+#REF!+#REF!+#REF!+#REF!+#REF!+#REF!+#REF!+#REF!+#REF!+#REF!+#REF!+#REF!+#REF!+#REF!+#REF!+#REF!+#REF!+#REF!</f>
        <v>#REF!</v>
      </c>
      <c r="S556" s="98" t="e">
        <f>23738356.5-R556</f>
        <v>#REF!</v>
      </c>
    </row>
    <row r="557" spans="1:24" ht="18" hidden="1" x14ac:dyDescent="0.25">
      <c r="A557" s="416" t="s">
        <v>134</v>
      </c>
      <c r="B557" s="416"/>
      <c r="C557" s="416"/>
      <c r="D557" s="416"/>
      <c r="E557" s="416"/>
      <c r="F557" s="416"/>
      <c r="G557" s="416"/>
      <c r="H557" s="416"/>
      <c r="I557" s="416"/>
      <c r="M557" s="74" t="e">
        <f>13987520.34-P557</f>
        <v>#REF!</v>
      </c>
      <c r="N557" s="75"/>
      <c r="O557" s="75"/>
      <c r="P557" s="74" t="e">
        <f>#REF!+#REF!+#REF!+#REF!+#REF!</f>
        <v>#REF!</v>
      </c>
      <c r="Q557" s="74" t="e">
        <f>#REF!+#REF!+#REF!+#REF!+#REF!</f>
        <v>#REF!</v>
      </c>
      <c r="R557" s="74" t="e">
        <f>#REF!+#REF!+#REF!+#REF!+#REF!</f>
        <v>#REF!</v>
      </c>
      <c r="S557" s="98" t="e">
        <f>17290122.9-R557</f>
        <v>#REF!</v>
      </c>
    </row>
    <row r="558" spans="1:24" ht="15.6" x14ac:dyDescent="0.25">
      <c r="A558" s="416"/>
      <c r="B558" s="416"/>
      <c r="C558" s="416"/>
      <c r="D558" s="416"/>
      <c r="E558" s="416"/>
      <c r="F558" s="416"/>
      <c r="G558" s="416"/>
      <c r="H558" s="416"/>
      <c r="I558" s="416"/>
      <c r="J558" s="76"/>
      <c r="K558" s="76"/>
    </row>
    <row r="560" spans="1:24" x14ac:dyDescent="0.25">
      <c r="H560" s="77"/>
      <c r="I560" s="77"/>
      <c r="J560" s="77"/>
      <c r="K560" s="77"/>
      <c r="L560" s="77"/>
      <c r="M560" s="77"/>
      <c r="N560" s="77"/>
      <c r="O560" s="77"/>
      <c r="P560" s="77"/>
      <c r="Q560" s="77"/>
      <c r="R560" s="77"/>
      <c r="S560" s="99"/>
    </row>
    <row r="562" spans="1:23" ht="27" hidden="1" customHeight="1" x14ac:dyDescent="0.25">
      <c r="B562" s="388" t="s">
        <v>618</v>
      </c>
      <c r="C562" s="389">
        <v>1956</v>
      </c>
      <c r="D562" s="223"/>
      <c r="E562" s="223"/>
      <c r="F562" s="173">
        <v>994.5</v>
      </c>
      <c r="G562" s="126">
        <v>883</v>
      </c>
      <c r="H562" s="305">
        <f>I562+J562+K562+M562+O562+Q562+S562</f>
        <v>4768606.18</v>
      </c>
      <c r="I562" s="395">
        <f>G562*(181.16+274.43+276.91+687.2)</f>
        <v>1253595.1000000001</v>
      </c>
      <c r="J562" s="69">
        <v>0</v>
      </c>
      <c r="K562" s="391">
        <f>G562*3980.76</f>
        <v>3515011.08</v>
      </c>
    </row>
    <row r="566" spans="1:23" s="8" customFormat="1" ht="15.6" x14ac:dyDescent="0.25">
      <c r="A566" s="2"/>
      <c r="B566" s="2"/>
      <c r="F566" s="106"/>
      <c r="G566" s="106"/>
      <c r="H566" s="71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60"/>
      <c r="W566" s="200"/>
    </row>
  </sheetData>
  <sortState ref="B441:Y443">
    <sortCondition ref="B441"/>
  </sortState>
  <mergeCells count="103">
    <mergeCell ref="W38:AH38"/>
    <mergeCell ref="N5:S5"/>
    <mergeCell ref="A6:U6"/>
    <mergeCell ref="H10:S10"/>
    <mergeCell ref="T10:T13"/>
    <mergeCell ref="U10:U13"/>
    <mergeCell ref="H11:H12"/>
    <mergeCell ref="I11:I12"/>
    <mergeCell ref="J11:J12"/>
    <mergeCell ref="K11:K12"/>
    <mergeCell ref="L11:L12"/>
    <mergeCell ref="A8:U8"/>
    <mergeCell ref="A10:A13"/>
    <mergeCell ref="B10:B13"/>
    <mergeCell ref="A48:S48"/>
    <mergeCell ref="A15:B15"/>
    <mergeCell ref="C10:C13"/>
    <mergeCell ref="D10:D13"/>
    <mergeCell ref="E10:E13"/>
    <mergeCell ref="F10:F12"/>
    <mergeCell ref="G10:G12"/>
    <mergeCell ref="A293:B293"/>
    <mergeCell ref="A294:S294"/>
    <mergeCell ref="A59:B59"/>
    <mergeCell ref="A60:S60"/>
    <mergeCell ref="A86:B86"/>
    <mergeCell ref="P11:S11"/>
    <mergeCell ref="M11:M12"/>
    <mergeCell ref="N11:N12"/>
    <mergeCell ref="O11:O12"/>
    <mergeCell ref="A16:S16"/>
    <mergeCell ref="A33:B33"/>
    <mergeCell ref="A34:S34"/>
    <mergeCell ref="A47:B47"/>
    <mergeCell ref="A311:B311"/>
    <mergeCell ref="A312:S312"/>
    <mergeCell ref="A352:B352"/>
    <mergeCell ref="A353:S353"/>
    <mergeCell ref="A87:S87"/>
    <mergeCell ref="A277:B277"/>
    <mergeCell ref="A278:S278"/>
    <mergeCell ref="A396:B396"/>
    <mergeCell ref="A397:S397"/>
    <mergeCell ref="A398:S398"/>
    <mergeCell ref="A401:B401"/>
    <mergeCell ref="A402:S402"/>
    <mergeCell ref="A409:B409"/>
    <mergeCell ref="A356:B356"/>
    <mergeCell ref="A357:S357"/>
    <mergeCell ref="A360:B360"/>
    <mergeCell ref="A361:S361"/>
    <mergeCell ref="A363:B363"/>
    <mergeCell ref="A364:S364"/>
    <mergeCell ref="A429:S429"/>
    <mergeCell ref="A432:B432"/>
    <mergeCell ref="A433:S433"/>
    <mergeCell ref="A442:B442"/>
    <mergeCell ref="A443:S443"/>
    <mergeCell ref="A446:B446"/>
    <mergeCell ref="A410:S410"/>
    <mergeCell ref="A423:B423"/>
    <mergeCell ref="A424:B424"/>
    <mergeCell ref="A425:S425"/>
    <mergeCell ref="A426:S426"/>
    <mergeCell ref="A428:B428"/>
    <mergeCell ref="A487:B487"/>
    <mergeCell ref="A488:S488"/>
    <mergeCell ref="A467:S467"/>
    <mergeCell ref="A469:B469"/>
    <mergeCell ref="A470:S470"/>
    <mergeCell ref="A473:B473"/>
    <mergeCell ref="A474:B474"/>
    <mergeCell ref="A475:S475"/>
    <mergeCell ref="A447:S447"/>
    <mergeCell ref="A454:B454"/>
    <mergeCell ref="A455:S455"/>
    <mergeCell ref="A462:B462"/>
    <mergeCell ref="A463:S463"/>
    <mergeCell ref="A466:B466"/>
    <mergeCell ref="N2:U2"/>
    <mergeCell ref="N4:U4"/>
    <mergeCell ref="N3:S3"/>
    <mergeCell ref="N1:T1"/>
    <mergeCell ref="A555:O555"/>
    <mergeCell ref="A556:I556"/>
    <mergeCell ref="A557:I557"/>
    <mergeCell ref="A558:I558"/>
    <mergeCell ref="A539:B539"/>
    <mergeCell ref="A540:S540"/>
    <mergeCell ref="A550:B550"/>
    <mergeCell ref="A551:B551"/>
    <mergeCell ref="A553:S553"/>
    <mergeCell ref="A554:S554"/>
    <mergeCell ref="A489:S489"/>
    <mergeCell ref="A509:B509"/>
    <mergeCell ref="A510:S510"/>
    <mergeCell ref="A533:B533"/>
    <mergeCell ref="A534:P534"/>
    <mergeCell ref="A538:B538"/>
    <mergeCell ref="A476:S476"/>
    <mergeCell ref="A479:B479"/>
    <mergeCell ref="A480:S480"/>
    <mergeCell ref="A486:B486"/>
  </mergeCells>
  <dataValidations count="2">
    <dataValidation type="list" allowBlank="1" showInputMessage="1" showErrorMessage="1" sqref="W399:W400">
      <formula1>стены</formula1>
    </dataValidation>
    <dataValidation type="list" allowBlank="1" showErrorMessage="1" sqref="W358:W359">
      <formula1>$AB$1:$AB$6</formula1>
      <formula2>0</formula2>
    </dataValidation>
  </dataValidations>
  <pageMargins left="0.31496062992125984" right="0.51181102362204722" top="0.74803149606299213" bottom="0.74803149606299213" header="0.31496062992125984" footer="0.31496062992125984"/>
  <pageSetup paperSize="9" scale="39" fitToHeight="15" orientation="landscape" horizontalDpi="300" verticalDpi="300" r:id="rId1"/>
  <headerFooter differentFirst="1">
    <oddHeader>&amp;C&amp;12&amp;P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</vt:lpstr>
      <vt:lpstr>'2017'!Заголовки_для_печати</vt:lpstr>
      <vt:lpstr>'2017'!Область_печати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Ливерко</cp:lastModifiedBy>
  <cp:lastPrinted>2017-03-13T12:31:29Z</cp:lastPrinted>
  <dcterms:created xsi:type="dcterms:W3CDTF">2014-06-03T05:55:59Z</dcterms:created>
  <dcterms:modified xsi:type="dcterms:W3CDTF">2017-03-15T07:14:51Z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gDocId">
    <vt:lpwstr>{A92129D9-92FE-E611-ABFF-002481ACEEB4}</vt:lpwstr>
  </property>
  <property fmtid="{D5CDD505-2E9C-101B-9397-08002B2CF9AE}" pid="3" name="#RegDocId">
    <vt:lpwstr>Вн. Постановление Правительства № 126-ПП от 14.03.2017</vt:lpwstr>
  </property>
  <property fmtid="{D5CDD505-2E9C-101B-9397-08002B2CF9AE}" pid="4" name="FileDocId">
    <vt:lpwstr>{8BACBB87-E907-E711-ABFF-002481ACEEB4}</vt:lpwstr>
  </property>
  <property fmtid="{D5CDD505-2E9C-101B-9397-08002B2CF9AE}" pid="5" name="#FileDocId">
    <vt:lpwstr>Файл: Приложение № 2_ 2017_13.03.2017.xlsx</vt:lpwstr>
  </property>
  <property fmtid="{D5CDD505-2E9C-101B-9397-08002B2CF9AE}" pid="6" name="Дайждест">
    <vt:lpwstr>Вн. Постановление Правительства № 85-ПП от 29.02.2016</vt:lpwstr>
  </property>
  <property fmtid="{D5CDD505-2E9C-101B-9397-08002B2CF9AE}" pid="7" name="Содержание">
    <vt:lpwstr>О ВНЕСЕНИИ ИЗМЕНЕНИЙ В ПОСТАНОВЛЕНИЕ ПРАВИТЕЛЬСТВА МУРМАНСКОЙ ОБЛАСТИ ОТ 27.06.2014 № 325-ПП/9</vt:lpwstr>
  </property>
  <property fmtid="{D5CDD505-2E9C-101B-9397-08002B2CF9AE}" pid="8" name="Вид_документа">
    <vt:lpwstr>Постановление Правительства</vt:lpwstr>
  </property>
  <property fmtid="{D5CDD505-2E9C-101B-9397-08002B2CF9AE}" pid="9" name="Отправитель_ФИО">
    <vt:lpwstr>Ковтун М.В.</vt:lpwstr>
  </property>
  <property fmtid="{D5CDD505-2E9C-101B-9397-08002B2CF9AE}" pid="10" name="Отправитель_Фамилия">
    <vt:lpwstr>Ковтун</vt:lpwstr>
  </property>
  <property fmtid="{D5CDD505-2E9C-101B-9397-08002B2CF9AE}" pid="11" name="Отправитель_Имя">
    <vt:lpwstr>Марина</vt:lpwstr>
  </property>
  <property fmtid="{D5CDD505-2E9C-101B-9397-08002B2CF9AE}" pid="12" name="Отправитель_Отчество">
    <vt:lpwstr>Васильевна</vt:lpwstr>
  </property>
  <property fmtid="{D5CDD505-2E9C-101B-9397-08002B2CF9AE}" pid="13" name="Отправитель_Фамилия_род">
    <vt:lpwstr>Ковтун</vt:lpwstr>
  </property>
  <property fmtid="{D5CDD505-2E9C-101B-9397-08002B2CF9AE}" pid="14" name="Отправитель_Фамилия_дат">
    <vt:lpwstr>Ковтун</vt:lpwstr>
  </property>
  <property fmtid="{D5CDD505-2E9C-101B-9397-08002B2CF9AE}" pid="15" name="Отправитель_Инициалы">
    <vt:lpwstr>М.В.</vt:lpwstr>
  </property>
  <property fmtid="{D5CDD505-2E9C-101B-9397-08002B2CF9AE}" pid="16" name="Отправитель_Должность">
    <vt:lpwstr>Губернатор</vt:lpwstr>
  </property>
  <property fmtid="{D5CDD505-2E9C-101B-9397-08002B2CF9AE}" pid="17" name="Отправитель_Должность_род">
    <vt:lpwstr>Губернатор</vt:lpwstr>
  </property>
  <property fmtid="{D5CDD505-2E9C-101B-9397-08002B2CF9AE}" pid="18" name="Отправитель_Должность_дат">
    <vt:lpwstr>Губернатор</vt:lpwstr>
  </property>
  <property fmtid="{D5CDD505-2E9C-101B-9397-08002B2CF9AE}" pid="19" name="Отправитель_Подразделение">
    <vt:lpwstr>Приемная Губернатора</vt:lpwstr>
  </property>
  <property fmtid="{D5CDD505-2E9C-101B-9397-08002B2CF9AE}" pid="20" name="Отправитель_Телефон">
    <vt:lpwstr>486-201</vt:lpwstr>
  </property>
  <property fmtid="{D5CDD505-2E9C-101B-9397-08002B2CF9AE}" pid="21" name="Исполнитель_ФИО">
    <vt:lpwstr>Трушкова В.В.</vt:lpwstr>
  </property>
  <property fmtid="{D5CDD505-2E9C-101B-9397-08002B2CF9AE}" pid="22" name="Исполнитель_Фамилия">
    <vt:lpwstr>Трушкова</vt:lpwstr>
  </property>
  <property fmtid="{D5CDD505-2E9C-101B-9397-08002B2CF9AE}" pid="23" name="Исполнитель_Имя">
    <vt:lpwstr>Вероника</vt:lpwstr>
  </property>
  <property fmtid="{D5CDD505-2E9C-101B-9397-08002B2CF9AE}" pid="24" name="Исполнитель_Отчество">
    <vt:lpwstr>Владимировна</vt:lpwstr>
  </property>
  <property fmtid="{D5CDD505-2E9C-101B-9397-08002B2CF9AE}" pid="25" name="Исполнитель_Фамилия_род">
    <vt:lpwstr>Трушковой</vt:lpwstr>
  </property>
  <property fmtid="{D5CDD505-2E9C-101B-9397-08002B2CF9AE}" pid="26" name="Исполнитель_Фамилия_дат">
    <vt:lpwstr>Трушковой</vt:lpwstr>
  </property>
  <property fmtid="{D5CDD505-2E9C-101B-9397-08002B2CF9AE}" pid="27" name="Исполнитель_Инициалы">
    <vt:lpwstr>В.В.</vt:lpwstr>
  </property>
  <property fmtid="{D5CDD505-2E9C-101B-9397-08002B2CF9AE}" pid="28" name="Исполнитель_Должность">
    <vt:lpwstr>Заместитель руководителя подразделения ИОГВ</vt:lpwstr>
  </property>
  <property fmtid="{D5CDD505-2E9C-101B-9397-08002B2CF9AE}" pid="29" name="Исполнитель_Должность_род">
    <vt:lpwstr>Заместитель руководителя подразделения ИОГВ</vt:lpwstr>
  </property>
  <property fmtid="{D5CDD505-2E9C-101B-9397-08002B2CF9AE}" pid="30" name="Исполнитель_Должность_дат">
    <vt:lpwstr>Заместитель руководителя подразделения ИОГВ</vt:lpwstr>
  </property>
  <property fmtid="{D5CDD505-2E9C-101B-9397-08002B2CF9AE}" pid="31" name="Исполнитель_Подразделение">
    <vt:lpwstr>21-02 Управление формирования и реализации политики в области энергетики и жилищно-коммунального комплекса</vt:lpwstr>
  </property>
  <property fmtid="{D5CDD505-2E9C-101B-9397-08002B2CF9AE}" pid="32" name="Исполнитель_Телефон">
    <vt:lpwstr>486-761</vt:lpwstr>
  </property>
  <property fmtid="{D5CDD505-2E9C-101B-9397-08002B2CF9AE}" pid="33" name="Регистрационный_номер">
    <vt:lpwstr>85-ПП</vt:lpwstr>
  </property>
  <property fmtid="{D5CDD505-2E9C-101B-9397-08002B2CF9AE}" pid="34" name="Дата_регистрации">
    <vt:filetime>2016-08-01T22:04:36Z</vt:filetime>
  </property>
  <property fmtid="{D5CDD505-2E9C-101B-9397-08002B2CF9AE}" pid="35" name="Получатель_ФИО">
    <vt:lpwstr>Гноевский В.Н.</vt:lpwstr>
  </property>
  <property fmtid="{D5CDD505-2E9C-101B-9397-08002B2CF9AE}" pid="36" name="Получатель_Фамилия">
    <vt:lpwstr>Гноевский</vt:lpwstr>
  </property>
  <property fmtid="{D5CDD505-2E9C-101B-9397-08002B2CF9AE}" pid="37" name="Получатель_Имя">
    <vt:lpwstr>Владимир</vt:lpwstr>
  </property>
  <property fmtid="{D5CDD505-2E9C-101B-9397-08002B2CF9AE}" pid="38" name="Получатель_Отчество">
    <vt:lpwstr>Николаевич</vt:lpwstr>
  </property>
  <property fmtid="{D5CDD505-2E9C-101B-9397-08002B2CF9AE}" pid="39" name="Получатель_Фамилия_род">
    <vt:lpwstr>Гноевского</vt:lpwstr>
  </property>
  <property fmtid="{D5CDD505-2E9C-101B-9397-08002B2CF9AE}" pid="40" name="Получатель_Фамилия_дат">
    <vt:lpwstr>Гноевскому</vt:lpwstr>
  </property>
  <property fmtid="{D5CDD505-2E9C-101B-9397-08002B2CF9AE}" pid="41" name="Получатель_Инициалы">
    <vt:lpwstr>В.Н.</vt:lpwstr>
  </property>
  <property fmtid="{D5CDD505-2E9C-101B-9397-08002B2CF9AE}" pid="42" name="Получатель_Должность">
    <vt:lpwstr>Министр</vt:lpwstr>
  </property>
  <property fmtid="{D5CDD505-2E9C-101B-9397-08002B2CF9AE}" pid="43" name="Получатель_Должность_род">
    <vt:lpwstr>Министр</vt:lpwstr>
  </property>
  <property fmtid="{D5CDD505-2E9C-101B-9397-08002B2CF9AE}" pid="44" name="Получатель_Должность_дат">
    <vt:lpwstr>Министр</vt:lpwstr>
  </property>
  <property fmtid="{D5CDD505-2E9C-101B-9397-08002B2CF9AE}" pid="45" name="Получатель_Подразделение">
    <vt:lpwstr>21-01 Руководство Министерства энергетики и жилищно-коммунального хозяйства Мурманской области</vt:lpwstr>
  </property>
  <property fmtid="{D5CDD505-2E9C-101B-9397-08002B2CF9AE}" pid="46" name="Получатель_Телефон">
    <vt:lpwstr>486-733</vt:lpwstr>
  </property>
</Properties>
</file>