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19320" windowHeight="11640" tabRatio="775" activeTab="1"/>
  </bookViews>
  <sheets>
    <sheet name="ПОМ ПП 1" sheetId="23" r:id="rId1"/>
    <sheet name="ИФ ПП 1" sheetId="28" r:id="rId2"/>
    <sheet name="ПОМ ПП 2" sheetId="21" r:id="rId3"/>
    <sheet name="ИФ ПП 2" sheetId="29" r:id="rId4"/>
    <sheet name="ПОМ ПП 3" sheetId="38" r:id="rId5"/>
    <sheet name="ИФ ПП 3" sheetId="39" r:id="rId6"/>
    <sheet name="ПОМ ПП 4" sheetId="36" r:id="rId7"/>
    <sheet name="ИФ ПП 4" sheetId="37" r:id="rId8"/>
    <sheet name="ПОМ ПП 5" sheetId="34" r:id="rId9"/>
    <sheet name="ИФ ПП 5" sheetId="35" r:id="rId10"/>
    <sheet name="ПОМ ВЦП" sheetId="1" r:id="rId11"/>
    <sheet name="ИФ ВЦП" sheetId="32" r:id="rId12"/>
    <sheet name="ПОМ АВЦП" sheetId="24" r:id="rId13"/>
    <sheet name="СОФ МЦП" sheetId="33" r:id="rId14"/>
    <sheet name="Лист1" sheetId="25" r:id="rId15"/>
    <sheet name="Лист2" sheetId="26" r:id="rId16"/>
  </sheets>
  <externalReferences>
    <externalReference r:id="rId17"/>
  </externalReferences>
  <definedNames>
    <definedName name="_ftn3" localSheetId="11">'ИФ ВЦП'!$A$38</definedName>
    <definedName name="_ftn3" localSheetId="1">'ИФ ПП 1'!#REF!</definedName>
    <definedName name="_ftn3" localSheetId="3">'ИФ ПП 2'!$A$101</definedName>
    <definedName name="_ftn3" localSheetId="5">'ИФ ПП 3'!$A$55</definedName>
    <definedName name="_ftn3" localSheetId="7">'ИФ ПП 4'!$A$21</definedName>
    <definedName name="_ftn3" localSheetId="9">'ИФ ПП 5'!$A$17</definedName>
    <definedName name="_ftn3" localSheetId="13">'СОФ МЦП'!$A$53</definedName>
    <definedName name="_ftnref3" localSheetId="11">'ИФ ВЦП'!$B$22</definedName>
    <definedName name="_ftnref3" localSheetId="1">'ИФ ПП 1'!#REF!</definedName>
    <definedName name="_ftnref3" localSheetId="3">'ИФ ПП 2'!$B$24</definedName>
    <definedName name="_ftnref3" localSheetId="5">'ИФ ПП 3'!$B$24</definedName>
    <definedName name="_ftnref3" localSheetId="7">'ИФ ПП 4'!#REF!</definedName>
    <definedName name="_ftnref3" localSheetId="9">'ИФ ПП 5'!#REF!</definedName>
    <definedName name="_ftnref3" localSheetId="13">'СОФ МЦП'!#REF!</definedName>
    <definedName name="_xlnm.Print_Titles" localSheetId="11">'ИФ ВЦП'!$6:$9</definedName>
    <definedName name="_xlnm.Print_Titles" localSheetId="1">'ИФ ПП 1'!$6:$9</definedName>
    <definedName name="_xlnm.Print_Titles" localSheetId="3">'ИФ ПП 2'!$6:$9</definedName>
    <definedName name="_xlnm.Print_Titles" localSheetId="5">'ИФ ПП 3'!$6:$9</definedName>
    <definedName name="_xlnm.Print_Titles" localSheetId="7">'ИФ ПП 4'!$6:$9</definedName>
    <definedName name="_xlnm.Print_Titles" localSheetId="9">'ИФ ПП 5'!$6:$9</definedName>
    <definedName name="_xlnm.Print_Titles" localSheetId="12">'ПОМ АВЦП'!$6:$8</definedName>
    <definedName name="_xlnm.Print_Titles" localSheetId="10">'ПОМ ВЦП'!$5:$7</definedName>
    <definedName name="_xlnm.Print_Titles" localSheetId="0">'ПОМ ПП 1'!$5:$7</definedName>
    <definedName name="_xlnm.Print_Titles" localSheetId="2">'ПОМ ПП 2'!$5:$7</definedName>
    <definedName name="_xlnm.Print_Titles" localSheetId="4">'ПОМ ПП 3'!$5:$7</definedName>
    <definedName name="_xlnm.Print_Titles" localSheetId="6">'ПОМ ПП 4'!$5:$7</definedName>
    <definedName name="_xlnm.Print_Titles" localSheetId="8">'ПОМ ПП 5'!$5:$7</definedName>
    <definedName name="_xlnm.Print_Titles" localSheetId="13">'СОФ МЦП'!$5:$8</definedName>
    <definedName name="_xlnm.Print_Area" localSheetId="10">'ПОМ ВЦП'!$A$1:$Q$120</definedName>
  </definedNames>
  <calcPr calcId="144525"/>
</workbook>
</file>

<file path=xl/calcChain.xml><?xml version="1.0" encoding="utf-8"?>
<calcChain xmlns="http://schemas.openxmlformats.org/spreadsheetml/2006/main">
  <c r="E27" i="34" l="1"/>
  <c r="E26" i="34"/>
  <c r="E25" i="34"/>
  <c r="E24" i="34"/>
  <c r="E22" i="34" s="1"/>
  <c r="J22" i="34"/>
  <c r="I22" i="34"/>
  <c r="H22" i="34"/>
  <c r="G22" i="34"/>
  <c r="F22" i="34"/>
  <c r="E21" i="34"/>
  <c r="E20" i="34"/>
  <c r="E19" i="34"/>
  <c r="E18" i="34"/>
  <c r="J16" i="34"/>
  <c r="I16" i="34"/>
  <c r="H16" i="34"/>
  <c r="G16" i="34"/>
  <c r="F16" i="34"/>
  <c r="E16" i="34"/>
  <c r="J15" i="34"/>
  <c r="J33" i="34" s="1"/>
  <c r="J39" i="34" s="1"/>
  <c r="I15" i="34"/>
  <c r="I33" i="34" s="1"/>
  <c r="I39" i="34" s="1"/>
  <c r="H15" i="34"/>
  <c r="H33" i="34" s="1"/>
  <c r="H39" i="34" s="1"/>
  <c r="G15" i="34"/>
  <c r="G33" i="34" s="1"/>
  <c r="G39" i="34" s="1"/>
  <c r="F15" i="34"/>
  <c r="F33" i="34" s="1"/>
  <c r="J14" i="34"/>
  <c r="J32" i="34" s="1"/>
  <c r="J38" i="34" s="1"/>
  <c r="I14" i="34"/>
  <c r="I32" i="34" s="1"/>
  <c r="I38" i="34" s="1"/>
  <c r="H14" i="34"/>
  <c r="H32" i="34" s="1"/>
  <c r="H38" i="34" s="1"/>
  <c r="G14" i="34"/>
  <c r="G32" i="34" s="1"/>
  <c r="G38" i="34" s="1"/>
  <c r="F14" i="34"/>
  <c r="F32" i="34" s="1"/>
  <c r="J13" i="34"/>
  <c r="J31" i="34" s="1"/>
  <c r="J37" i="34" s="1"/>
  <c r="I13" i="34"/>
  <c r="I31" i="34" s="1"/>
  <c r="I37" i="34" s="1"/>
  <c r="H13" i="34"/>
  <c r="H31" i="34" s="1"/>
  <c r="H37" i="34" s="1"/>
  <c r="G13" i="34"/>
  <c r="G31" i="34" s="1"/>
  <c r="G37" i="34" s="1"/>
  <c r="F13" i="34"/>
  <c r="F31" i="34" s="1"/>
  <c r="J12" i="34"/>
  <c r="J30" i="34" s="1"/>
  <c r="I12" i="34"/>
  <c r="I10" i="34" s="1"/>
  <c r="H12" i="34"/>
  <c r="H30" i="34" s="1"/>
  <c r="G12" i="34"/>
  <c r="G30" i="34" s="1"/>
  <c r="F12" i="34"/>
  <c r="F30" i="34" s="1"/>
  <c r="E12" i="34"/>
  <c r="J10" i="34"/>
  <c r="G10" i="34"/>
  <c r="F10" i="34"/>
  <c r="F36" i="34" l="1"/>
  <c r="F28" i="34"/>
  <c r="J36" i="34"/>
  <c r="J28" i="34"/>
  <c r="F37" i="34"/>
  <c r="E37" i="34" s="1"/>
  <c r="E31" i="34"/>
  <c r="H36" i="34"/>
  <c r="H34" i="34" s="1"/>
  <c r="H28" i="34"/>
  <c r="E32" i="34"/>
  <c r="F38" i="34"/>
  <c r="E38" i="34" s="1"/>
  <c r="F39" i="34"/>
  <c r="E39" i="34" s="1"/>
  <c r="E33" i="34"/>
  <c r="G36" i="34"/>
  <c r="G34" i="34" s="1"/>
  <c r="G28" i="34"/>
  <c r="H10" i="34"/>
  <c r="E14" i="34"/>
  <c r="E13" i="34"/>
  <c r="E15" i="34"/>
  <c r="E10" i="34" s="1"/>
  <c r="I30" i="34"/>
  <c r="J34" i="34" l="1"/>
  <c r="E36" i="34"/>
  <c r="E34" i="34" s="1"/>
  <c r="F34" i="34"/>
  <c r="I36" i="34"/>
  <c r="I34" i="34" s="1"/>
  <c r="I28" i="34"/>
  <c r="E30" i="34"/>
  <c r="E28" i="34" s="1"/>
  <c r="E78" i="29" l="1"/>
  <c r="F78" i="29"/>
  <c r="G78" i="29"/>
  <c r="H78" i="29"/>
  <c r="E79" i="29"/>
  <c r="F79" i="29"/>
  <c r="G79" i="29"/>
  <c r="H79" i="29"/>
  <c r="E80" i="29"/>
  <c r="F80" i="29"/>
  <c r="G80" i="29"/>
  <c r="H80" i="29"/>
  <c r="E81" i="29"/>
  <c r="F81" i="29"/>
  <c r="G81" i="29"/>
  <c r="H81" i="29"/>
  <c r="D79" i="29"/>
  <c r="D80" i="29"/>
  <c r="D81" i="29"/>
  <c r="D78" i="29"/>
  <c r="F16" i="29"/>
  <c r="G16" i="29"/>
  <c r="H16" i="29"/>
  <c r="D16" i="29"/>
  <c r="E12" i="29"/>
  <c r="F12" i="29"/>
  <c r="G12" i="29"/>
  <c r="H12" i="29"/>
  <c r="F13" i="29"/>
  <c r="G13" i="29"/>
  <c r="H13" i="29"/>
  <c r="E14" i="29"/>
  <c r="F14" i="29"/>
  <c r="G14" i="29"/>
  <c r="H14" i="29"/>
  <c r="F15" i="29"/>
  <c r="G15" i="29"/>
  <c r="H15" i="29"/>
  <c r="D13" i="29"/>
  <c r="D14" i="29"/>
  <c r="D15" i="29"/>
  <c r="D12" i="29"/>
  <c r="G585" i="21"/>
  <c r="H585" i="21"/>
  <c r="I585" i="21"/>
  <c r="J585" i="21"/>
  <c r="G586" i="21"/>
  <c r="H586" i="21"/>
  <c r="I586" i="21"/>
  <c r="J586" i="21"/>
  <c r="G587" i="21"/>
  <c r="H587" i="21"/>
  <c r="I587" i="21"/>
  <c r="J587" i="21"/>
  <c r="G588" i="21"/>
  <c r="H588" i="21"/>
  <c r="I588" i="21"/>
  <c r="J588" i="21"/>
  <c r="F586" i="21"/>
  <c r="F587" i="21"/>
  <c r="F588" i="21"/>
  <c r="F585" i="21"/>
  <c r="G18" i="23"/>
  <c r="G235" i="21"/>
  <c r="E582" i="21"/>
  <c r="E581" i="21"/>
  <c r="E580" i="21"/>
  <c r="E579" i="21"/>
  <c r="J577" i="21"/>
  <c r="I577" i="21"/>
  <c r="H577" i="21"/>
  <c r="G577" i="21"/>
  <c r="F577" i="21"/>
  <c r="G12" i="23"/>
  <c r="G562" i="21"/>
  <c r="G561" i="21"/>
  <c r="E577" i="21" l="1"/>
  <c r="C46" i="39"/>
  <c r="C45" i="39"/>
  <c r="C44" i="39"/>
  <c r="C43" i="39"/>
  <c r="C40" i="39"/>
  <c r="C39" i="39"/>
  <c r="C38" i="39"/>
  <c r="C37" i="39"/>
  <c r="C36" i="39"/>
  <c r="H35" i="39"/>
  <c r="G35" i="39"/>
  <c r="F35" i="39"/>
  <c r="E35" i="39"/>
  <c r="D35" i="39"/>
  <c r="C35" i="39"/>
  <c r="C34" i="39"/>
  <c r="C33" i="39"/>
  <c r="C32" i="39"/>
  <c r="C31" i="39"/>
  <c r="C30" i="39"/>
  <c r="H29" i="39"/>
  <c r="G29" i="39"/>
  <c r="F29" i="39"/>
  <c r="E29" i="39"/>
  <c r="D29" i="39"/>
  <c r="C29" i="39" s="1"/>
  <c r="C28" i="39"/>
  <c r="C27" i="39"/>
  <c r="C26" i="39"/>
  <c r="C25" i="39"/>
  <c r="C24" i="39"/>
  <c r="H23" i="39"/>
  <c r="G23" i="39"/>
  <c r="F23" i="39"/>
  <c r="E23" i="39"/>
  <c r="C23" i="39" s="1"/>
  <c r="D23" i="39"/>
  <c r="C22" i="39"/>
  <c r="C21" i="39"/>
  <c r="C20" i="39"/>
  <c r="C19" i="39"/>
  <c r="C18" i="39"/>
  <c r="H17" i="39"/>
  <c r="G17" i="39"/>
  <c r="F17" i="39"/>
  <c r="E17" i="39"/>
  <c r="D17" i="39"/>
  <c r="C17" i="39" s="1"/>
  <c r="J84" i="38"/>
  <c r="J78" i="38" s="1"/>
  <c r="I84" i="38"/>
  <c r="H84" i="38"/>
  <c r="G84" i="38"/>
  <c r="F84" i="38"/>
  <c r="E84" i="38" s="1"/>
  <c r="J83" i="38"/>
  <c r="I83" i="38"/>
  <c r="H83" i="38"/>
  <c r="H77" i="38" s="1"/>
  <c r="G83" i="38"/>
  <c r="F83" i="38"/>
  <c r="E83" i="38" s="1"/>
  <c r="J82" i="38"/>
  <c r="J76" i="38" s="1"/>
  <c r="J73" i="38" s="1"/>
  <c r="I82" i="38"/>
  <c r="H82" i="38"/>
  <c r="G82" i="38"/>
  <c r="F82" i="38"/>
  <c r="E82" i="38" s="1"/>
  <c r="J81" i="38"/>
  <c r="I81" i="38"/>
  <c r="H81" i="38"/>
  <c r="H79" i="38" s="1"/>
  <c r="G81" i="38"/>
  <c r="F81" i="38"/>
  <c r="E81" i="38" s="1"/>
  <c r="E79" i="38" s="1"/>
  <c r="J79" i="38"/>
  <c r="I79" i="38"/>
  <c r="G79" i="38"/>
  <c r="F79" i="38"/>
  <c r="I78" i="38"/>
  <c r="H78" i="38"/>
  <c r="G78" i="38"/>
  <c r="J77" i="38"/>
  <c r="I77" i="38"/>
  <c r="G77" i="38"/>
  <c r="F77" i="38"/>
  <c r="I76" i="38"/>
  <c r="H76" i="38"/>
  <c r="G76" i="38"/>
  <c r="E75" i="38"/>
  <c r="I73" i="38"/>
  <c r="G73" i="38"/>
  <c r="J71" i="38"/>
  <c r="I71" i="38"/>
  <c r="I90" i="38" s="1"/>
  <c r="G15" i="39" s="1"/>
  <c r="H71" i="38"/>
  <c r="G71" i="38"/>
  <c r="G90" i="38" s="1"/>
  <c r="E15" i="39" s="1"/>
  <c r="F71" i="38"/>
  <c r="E71" i="38"/>
  <c r="J70" i="38"/>
  <c r="I70" i="38"/>
  <c r="I89" i="38" s="1"/>
  <c r="G14" i="39" s="1"/>
  <c r="H70" i="38"/>
  <c r="G70" i="38"/>
  <c r="E70" i="38" s="1"/>
  <c r="F70" i="38"/>
  <c r="J69" i="38"/>
  <c r="I69" i="38"/>
  <c r="I88" i="38" s="1"/>
  <c r="G13" i="39" s="1"/>
  <c r="H69" i="38"/>
  <c r="G69" i="38"/>
  <c r="G88" i="38" s="1"/>
  <c r="E13" i="39" s="1"/>
  <c r="F69" i="38"/>
  <c r="E69" i="38"/>
  <c r="J68" i="38"/>
  <c r="I68" i="38"/>
  <c r="H68" i="38"/>
  <c r="G68" i="38"/>
  <c r="G66" i="38" s="1"/>
  <c r="F68" i="38"/>
  <c r="J66" i="38"/>
  <c r="I66" i="38"/>
  <c r="H66" i="38"/>
  <c r="F66" i="38"/>
  <c r="E65" i="38"/>
  <c r="E64" i="38"/>
  <c r="E63" i="38"/>
  <c r="E62" i="38"/>
  <c r="J60" i="38"/>
  <c r="I60" i="38"/>
  <c r="H60" i="38"/>
  <c r="G60" i="38"/>
  <c r="F60" i="38"/>
  <c r="J58" i="38"/>
  <c r="J90" i="38" s="1"/>
  <c r="H15" i="39" s="1"/>
  <c r="I58" i="38"/>
  <c r="H58" i="38"/>
  <c r="H90" i="38" s="1"/>
  <c r="F15" i="39" s="1"/>
  <c r="G58" i="38"/>
  <c r="F58" i="38"/>
  <c r="F90" i="38" s="1"/>
  <c r="J57" i="38"/>
  <c r="J89" i="38" s="1"/>
  <c r="H14" i="39" s="1"/>
  <c r="I57" i="38"/>
  <c r="H57" i="38"/>
  <c r="H89" i="38" s="1"/>
  <c r="F14" i="39" s="1"/>
  <c r="G57" i="38"/>
  <c r="F57" i="38"/>
  <c r="F89" i="38" s="1"/>
  <c r="J56" i="38"/>
  <c r="J88" i="38" s="1"/>
  <c r="H13" i="39" s="1"/>
  <c r="I56" i="38"/>
  <c r="H56" i="38"/>
  <c r="H88" i="38" s="1"/>
  <c r="F13" i="39" s="1"/>
  <c r="G56" i="38"/>
  <c r="F56" i="38"/>
  <c r="E56" i="38" s="1"/>
  <c r="J55" i="38"/>
  <c r="J53" i="38" s="1"/>
  <c r="I55" i="38"/>
  <c r="H55" i="38"/>
  <c r="H87" i="38" s="1"/>
  <c r="G55" i="38"/>
  <c r="F55" i="38"/>
  <c r="F87" i="38" s="1"/>
  <c r="I53" i="38"/>
  <c r="H53" i="38"/>
  <c r="G53" i="38"/>
  <c r="E52" i="38"/>
  <c r="E51" i="38"/>
  <c r="E50" i="38"/>
  <c r="E47" i="38" s="1"/>
  <c r="E49" i="38"/>
  <c r="J47" i="38"/>
  <c r="I47" i="38"/>
  <c r="H47" i="38"/>
  <c r="E46" i="38"/>
  <c r="E45" i="38"/>
  <c r="E44" i="38"/>
  <c r="E41" i="38" s="1"/>
  <c r="E43" i="38"/>
  <c r="J41" i="38"/>
  <c r="I41" i="38"/>
  <c r="H41" i="38"/>
  <c r="G41" i="38"/>
  <c r="F41" i="38"/>
  <c r="E40" i="38"/>
  <c r="E39" i="38"/>
  <c r="E38" i="38"/>
  <c r="E35" i="38" s="1"/>
  <c r="E37" i="38"/>
  <c r="J35" i="38"/>
  <c r="I35" i="38"/>
  <c r="H35" i="38"/>
  <c r="G35" i="38"/>
  <c r="F35" i="38"/>
  <c r="J33" i="38"/>
  <c r="I33" i="38"/>
  <c r="H33" i="38"/>
  <c r="G33" i="38"/>
  <c r="F33" i="38"/>
  <c r="E33" i="38" s="1"/>
  <c r="J32" i="38"/>
  <c r="I32" i="38"/>
  <c r="H32" i="38"/>
  <c r="G32" i="38"/>
  <c r="F32" i="38"/>
  <c r="E32" i="38" s="1"/>
  <c r="J31" i="38"/>
  <c r="I31" i="38"/>
  <c r="H31" i="38"/>
  <c r="G31" i="38"/>
  <c r="F31" i="38"/>
  <c r="E31" i="38" s="1"/>
  <c r="J30" i="38"/>
  <c r="H30" i="38"/>
  <c r="H28" i="38" s="1"/>
  <c r="F30" i="38"/>
  <c r="J28" i="38"/>
  <c r="F28" i="38"/>
  <c r="E27" i="38"/>
  <c r="E26" i="38"/>
  <c r="E25" i="38"/>
  <c r="E22" i="38" s="1"/>
  <c r="E24" i="38"/>
  <c r="J22" i="38"/>
  <c r="I22" i="38"/>
  <c r="H22" i="38"/>
  <c r="G22" i="38"/>
  <c r="F22" i="38"/>
  <c r="E21" i="38"/>
  <c r="E20" i="38"/>
  <c r="E19" i="38"/>
  <c r="J18" i="38"/>
  <c r="I18" i="38"/>
  <c r="I16" i="38" s="1"/>
  <c r="H18" i="38"/>
  <c r="G18" i="38"/>
  <c r="G30" i="38" s="1"/>
  <c r="G28" i="38" s="1"/>
  <c r="F18" i="38"/>
  <c r="E18" i="38"/>
  <c r="E16" i="38" s="1"/>
  <c r="J16" i="38"/>
  <c r="H16" i="38"/>
  <c r="G16" i="38"/>
  <c r="F16" i="38"/>
  <c r="E15" i="38"/>
  <c r="E14" i="38"/>
  <c r="E13" i="38"/>
  <c r="E12" i="38"/>
  <c r="J10" i="38"/>
  <c r="I10" i="38"/>
  <c r="H10" i="38"/>
  <c r="G10" i="38"/>
  <c r="F10" i="38"/>
  <c r="E10" i="38"/>
  <c r="D12" i="39" l="1"/>
  <c r="F85" i="38"/>
  <c r="E77" i="38"/>
  <c r="F12" i="39"/>
  <c r="H85" i="38"/>
  <c r="D14" i="39"/>
  <c r="C14" i="39" s="1"/>
  <c r="E90" i="38"/>
  <c r="D15" i="39"/>
  <c r="C15" i="39" s="1"/>
  <c r="H73" i="38"/>
  <c r="F53" i="38"/>
  <c r="E68" i="38"/>
  <c r="E66" i="38" s="1"/>
  <c r="F76" i="38"/>
  <c r="F78" i="38"/>
  <c r="E78" i="38" s="1"/>
  <c r="F88" i="38"/>
  <c r="E55" i="38"/>
  <c r="E57" i="38"/>
  <c r="J87" i="38"/>
  <c r="I30" i="38"/>
  <c r="I28" i="38" s="1"/>
  <c r="E58" i="38"/>
  <c r="G87" i="38"/>
  <c r="G89" i="38"/>
  <c r="E14" i="39" s="1"/>
  <c r="E87" i="38" l="1"/>
  <c r="E85" i="38" s="1"/>
  <c r="E76" i="38"/>
  <c r="E73" i="38" s="1"/>
  <c r="F73" i="38"/>
  <c r="E53" i="38"/>
  <c r="F10" i="39"/>
  <c r="F42" i="39"/>
  <c r="F41" i="39" s="1"/>
  <c r="F16" i="39"/>
  <c r="E12" i="39"/>
  <c r="G85" i="38"/>
  <c r="E88" i="38"/>
  <c r="D13" i="39"/>
  <c r="C13" i="39" s="1"/>
  <c r="E30" i="38"/>
  <c r="E28" i="38" s="1"/>
  <c r="H12" i="39"/>
  <c r="J85" i="38"/>
  <c r="E89" i="38"/>
  <c r="I87" i="38"/>
  <c r="D16" i="39"/>
  <c r="D10" i="39"/>
  <c r="D42" i="39"/>
  <c r="D41" i="39" l="1"/>
  <c r="G12" i="39"/>
  <c r="I85" i="38"/>
  <c r="E10" i="39"/>
  <c r="E42" i="39"/>
  <c r="E41" i="39" s="1"/>
  <c r="E16" i="39"/>
  <c r="H42" i="39"/>
  <c r="H41" i="39" s="1"/>
  <c r="H10" i="39"/>
  <c r="H16" i="39"/>
  <c r="G42" i="39" l="1"/>
  <c r="G41" i="39" s="1"/>
  <c r="C41" i="39" s="1"/>
  <c r="G16" i="39"/>
  <c r="C16" i="39" s="1"/>
  <c r="G10" i="39"/>
  <c r="C10" i="39" s="1"/>
  <c r="C12" i="39"/>
  <c r="C42" i="39" l="1"/>
  <c r="H15" i="37" l="1"/>
  <c r="I59" i="36"/>
  <c r="G15" i="37" s="1"/>
  <c r="H59" i="36"/>
  <c r="F15" i="37" s="1"/>
  <c r="G58" i="36"/>
  <c r="E14" i="37" s="1"/>
  <c r="H57" i="36"/>
  <c r="F13" i="37" s="1"/>
  <c r="J53" i="36"/>
  <c r="J59" i="36" s="1"/>
  <c r="I53" i="36"/>
  <c r="H53" i="36"/>
  <c r="G53" i="36"/>
  <c r="F53" i="36"/>
  <c r="J52" i="36"/>
  <c r="I52" i="36"/>
  <c r="H52" i="36"/>
  <c r="H58" i="36" s="1"/>
  <c r="F14" i="37" s="1"/>
  <c r="G52" i="36"/>
  <c r="F52" i="36"/>
  <c r="J51" i="36"/>
  <c r="J48" i="36" s="1"/>
  <c r="I51" i="36"/>
  <c r="H51" i="36"/>
  <c r="G51" i="36"/>
  <c r="F51" i="36"/>
  <c r="E51" i="36" s="1"/>
  <c r="J50" i="36"/>
  <c r="I50" i="36"/>
  <c r="H50" i="36"/>
  <c r="F50" i="36"/>
  <c r="F48" i="36"/>
  <c r="E47" i="36"/>
  <c r="E46" i="36"/>
  <c r="E45" i="36"/>
  <c r="J44" i="36"/>
  <c r="I44" i="36"/>
  <c r="H44" i="36"/>
  <c r="H42" i="36" s="1"/>
  <c r="G44" i="36"/>
  <c r="F44" i="36"/>
  <c r="J42" i="36"/>
  <c r="I42" i="36"/>
  <c r="F42" i="36"/>
  <c r="J40" i="36"/>
  <c r="I40" i="36"/>
  <c r="H40" i="36"/>
  <c r="G40" i="36"/>
  <c r="E40" i="36" s="1"/>
  <c r="F40" i="36"/>
  <c r="J39" i="36"/>
  <c r="I39" i="36"/>
  <c r="H39" i="36"/>
  <c r="G39" i="36"/>
  <c r="F39" i="36"/>
  <c r="E39" i="36"/>
  <c r="J38" i="36"/>
  <c r="I38" i="36"/>
  <c r="H38" i="36"/>
  <c r="G38" i="36"/>
  <c r="E38" i="36" s="1"/>
  <c r="F38" i="36"/>
  <c r="J37" i="36"/>
  <c r="I37" i="36"/>
  <c r="H37" i="36"/>
  <c r="G37" i="36"/>
  <c r="F37" i="36"/>
  <c r="E37" i="36"/>
  <c r="H35" i="36"/>
  <c r="G35" i="36"/>
  <c r="E34" i="36"/>
  <c r="E33" i="36"/>
  <c r="E32" i="36"/>
  <c r="E31" i="36"/>
  <c r="J29" i="36"/>
  <c r="I29" i="36"/>
  <c r="H29" i="36"/>
  <c r="G29" i="36"/>
  <c r="F29" i="36"/>
  <c r="E29" i="36"/>
  <c r="J27" i="36"/>
  <c r="I27" i="36"/>
  <c r="H27" i="36"/>
  <c r="G27" i="36"/>
  <c r="F27" i="36"/>
  <c r="J26" i="36"/>
  <c r="J58" i="36" s="1"/>
  <c r="H14" i="37" s="1"/>
  <c r="I26" i="36"/>
  <c r="H26" i="36"/>
  <c r="G26" i="36"/>
  <c r="F26" i="36"/>
  <c r="E26" i="36" s="1"/>
  <c r="H25" i="36"/>
  <c r="G25" i="36"/>
  <c r="G57" i="36" s="1"/>
  <c r="E13" i="37" s="1"/>
  <c r="H22" i="36"/>
  <c r="E21" i="36"/>
  <c r="E20" i="36"/>
  <c r="J19" i="36"/>
  <c r="E19" i="36"/>
  <c r="I18" i="36"/>
  <c r="I16" i="36" s="1"/>
  <c r="H18" i="36"/>
  <c r="G18" i="36"/>
  <c r="F18" i="36"/>
  <c r="F16" i="36" s="1"/>
  <c r="H16" i="36"/>
  <c r="G16" i="36"/>
  <c r="E15" i="36"/>
  <c r="E14" i="36"/>
  <c r="I13" i="36"/>
  <c r="J13" i="36" s="1"/>
  <c r="J25" i="36" s="1"/>
  <c r="J57" i="36" s="1"/>
  <c r="H13" i="37" s="1"/>
  <c r="H13" i="36"/>
  <c r="H12" i="36" s="1"/>
  <c r="H24" i="36" s="1"/>
  <c r="G13" i="36"/>
  <c r="F13" i="36"/>
  <c r="F25" i="36" s="1"/>
  <c r="F12" i="36"/>
  <c r="F10" i="36" s="1"/>
  <c r="H10" i="36"/>
  <c r="F57" i="36" l="1"/>
  <c r="E25" i="36"/>
  <c r="G50" i="36"/>
  <c r="E44" i="36"/>
  <c r="E42" i="36" s="1"/>
  <c r="G42" i="36"/>
  <c r="H48" i="36"/>
  <c r="E52" i="36"/>
  <c r="F58" i="36"/>
  <c r="E13" i="36"/>
  <c r="G12" i="36"/>
  <c r="J18" i="36"/>
  <c r="F24" i="36"/>
  <c r="G59" i="36"/>
  <c r="E15" i="37" s="1"/>
  <c r="E27" i="36"/>
  <c r="E35" i="36"/>
  <c r="I35" i="36"/>
  <c r="I48" i="36"/>
  <c r="I12" i="36"/>
  <c r="H56" i="36"/>
  <c r="I58" i="36"/>
  <c r="G14" i="37" s="1"/>
  <c r="F35" i="36"/>
  <c r="J35" i="36"/>
  <c r="E53" i="36"/>
  <c r="F59" i="36"/>
  <c r="I25" i="36"/>
  <c r="I57" i="36" s="1"/>
  <c r="G13" i="37" s="1"/>
  <c r="H54" i="36" l="1"/>
  <c r="F12" i="37"/>
  <c r="F10" i="37" s="1"/>
  <c r="F16" i="37" s="1"/>
  <c r="J16" i="36"/>
  <c r="E18" i="36"/>
  <c r="E16" i="36" s="1"/>
  <c r="E50" i="36"/>
  <c r="E48" i="36" s="1"/>
  <c r="G48" i="36"/>
  <c r="I10" i="36"/>
  <c r="I24" i="36"/>
  <c r="J12" i="36"/>
  <c r="G24" i="36"/>
  <c r="G10" i="36"/>
  <c r="E57" i="36"/>
  <c r="D13" i="37"/>
  <c r="C13" i="37" s="1"/>
  <c r="E59" i="36"/>
  <c r="D15" i="37"/>
  <c r="C15" i="37" s="1"/>
  <c r="F22" i="36"/>
  <c r="F56" i="36"/>
  <c r="E58" i="36"/>
  <c r="D14" i="37"/>
  <c r="C14" i="37" s="1"/>
  <c r="D12" i="37" l="1"/>
  <c r="F54" i="36"/>
  <c r="G56" i="36"/>
  <c r="G22" i="36"/>
  <c r="J10" i="36"/>
  <c r="J24" i="36"/>
  <c r="E12" i="36"/>
  <c r="E10" i="36" s="1"/>
  <c r="I56" i="36"/>
  <c r="I22" i="36"/>
  <c r="D10" i="37" l="1"/>
  <c r="G12" i="37"/>
  <c r="G10" i="37" s="1"/>
  <c r="G16" i="37" s="1"/>
  <c r="I54" i="36"/>
  <c r="E12" i="37"/>
  <c r="E10" i="37" s="1"/>
  <c r="E16" i="37" s="1"/>
  <c r="G54" i="36"/>
  <c r="J22" i="36"/>
  <c r="J56" i="36"/>
  <c r="E24" i="36"/>
  <c r="E22" i="36" s="1"/>
  <c r="D16" i="37" l="1"/>
  <c r="H12" i="37"/>
  <c r="H10" i="37" s="1"/>
  <c r="H16" i="37" s="1"/>
  <c r="J54" i="36"/>
  <c r="E56" i="36"/>
  <c r="E54" i="36" s="1"/>
  <c r="C12" i="37" l="1"/>
  <c r="C16" i="37"/>
  <c r="C10" i="37"/>
  <c r="E30" i="29" l="1"/>
  <c r="E31" i="29"/>
  <c r="E61" i="29"/>
  <c r="E60" i="29"/>
  <c r="J92" i="23" l="1"/>
  <c r="I92" i="23"/>
  <c r="H92" i="23"/>
  <c r="G92" i="23"/>
  <c r="J30" i="23"/>
  <c r="I30" i="23"/>
  <c r="H30" i="23"/>
  <c r="G30" i="23"/>
  <c r="F14" i="35" l="1"/>
  <c r="F38" i="33" s="1"/>
  <c r="D15" i="35"/>
  <c r="D39" i="33" s="1"/>
  <c r="H15" i="35"/>
  <c r="H39" i="33" s="1"/>
  <c r="F12" i="35"/>
  <c r="F36" i="33" s="1"/>
  <c r="D13" i="35"/>
  <c r="D37" i="33" s="1"/>
  <c r="H13" i="35"/>
  <c r="H37" i="33" s="1"/>
  <c r="G14" i="35"/>
  <c r="G38" i="33" s="1"/>
  <c r="E15" i="35"/>
  <c r="E39" i="33" s="1"/>
  <c r="G12" i="35"/>
  <c r="G36" i="33" s="1"/>
  <c r="E13" i="35"/>
  <c r="E37" i="33" s="1"/>
  <c r="D14" i="35"/>
  <c r="D38" i="33" s="1"/>
  <c r="H14" i="35"/>
  <c r="H38" i="33" s="1"/>
  <c r="F15" i="35"/>
  <c r="F39" i="33" s="1"/>
  <c r="H12" i="35"/>
  <c r="H36" i="33" s="1"/>
  <c r="F13" i="35"/>
  <c r="F37" i="33" s="1"/>
  <c r="H35" i="33" l="1"/>
  <c r="F35" i="33"/>
  <c r="G16" i="35"/>
  <c r="H16" i="35"/>
  <c r="H10" i="35"/>
  <c r="G13" i="35"/>
  <c r="F10" i="35"/>
  <c r="F16" i="35"/>
  <c r="E12" i="35"/>
  <c r="E36" i="33" s="1"/>
  <c r="G15" i="35"/>
  <c r="E14" i="35"/>
  <c r="I24" i="1"/>
  <c r="H24" i="1"/>
  <c r="I25" i="1"/>
  <c r="H25" i="1"/>
  <c r="I19" i="23"/>
  <c r="H19" i="23"/>
  <c r="G10" i="35" l="1"/>
  <c r="G37" i="33"/>
  <c r="C14" i="35"/>
  <c r="E38" i="33"/>
  <c r="C38" i="33" s="1"/>
  <c r="C15" i="35"/>
  <c r="G39" i="33"/>
  <c r="C39" i="33" s="1"/>
  <c r="C13" i="35"/>
  <c r="D12" i="35"/>
  <c r="D36" i="33" s="1"/>
  <c r="E10" i="35"/>
  <c r="E16" i="35"/>
  <c r="E35" i="33" l="1"/>
  <c r="C37" i="33"/>
  <c r="G35" i="33"/>
  <c r="D35" i="33"/>
  <c r="C35" i="33" s="1"/>
  <c r="C36" i="33"/>
  <c r="D16" i="35"/>
  <c r="C16" i="35" s="1"/>
  <c r="C12" i="35"/>
  <c r="D10" i="35"/>
  <c r="C10" i="35" s="1"/>
  <c r="G17" i="24"/>
  <c r="G18" i="1"/>
  <c r="G30" i="1"/>
  <c r="G24" i="1" l="1"/>
  <c r="G25" i="1"/>
  <c r="E84" i="29"/>
  <c r="E86" i="29"/>
  <c r="E87" i="29"/>
  <c r="E85" i="29"/>
  <c r="E88" i="29"/>
  <c r="E73" i="29"/>
  <c r="E74" i="29"/>
  <c r="E75" i="29"/>
  <c r="E72" i="29"/>
  <c r="E22" i="29"/>
  <c r="E67" i="29"/>
  <c r="E68" i="29"/>
  <c r="E69" i="29"/>
  <c r="E66" i="29"/>
  <c r="E32" i="29"/>
  <c r="E33" i="29"/>
  <c r="E19" i="29"/>
  <c r="E20" i="29"/>
  <c r="E21" i="29"/>
  <c r="E18" i="29"/>
  <c r="E177" i="21"/>
  <c r="E176" i="21"/>
  <c r="E175" i="21"/>
  <c r="E172" i="21" s="1"/>
  <c r="E174" i="21"/>
  <c r="J172" i="21"/>
  <c r="I172" i="21"/>
  <c r="H172" i="21"/>
  <c r="G172" i="21"/>
  <c r="F172" i="21"/>
  <c r="H435" i="21"/>
  <c r="E468" i="21"/>
  <c r="E467" i="21"/>
  <c r="E466" i="21"/>
  <c r="E465" i="21"/>
  <c r="J463" i="21"/>
  <c r="J435" i="21" s="1"/>
  <c r="I463" i="21"/>
  <c r="I435" i="21" s="1"/>
  <c r="H463" i="21"/>
  <c r="G463" i="21"/>
  <c r="G435" i="21" s="1"/>
  <c r="F463" i="21"/>
  <c r="F435" i="21" s="1"/>
  <c r="E463" i="21" l="1"/>
  <c r="E576" i="21"/>
  <c r="E575" i="21"/>
  <c r="E574" i="21"/>
  <c r="E573" i="21"/>
  <c r="J571" i="21"/>
  <c r="I571" i="21"/>
  <c r="H571" i="21"/>
  <c r="G571" i="21"/>
  <c r="F571" i="21"/>
  <c r="E304" i="21"/>
  <c r="E303" i="21"/>
  <c r="E302" i="21"/>
  <c r="E301" i="21"/>
  <c r="J299" i="21"/>
  <c r="I299" i="21"/>
  <c r="H299" i="21"/>
  <c r="G299" i="21"/>
  <c r="F299" i="21"/>
  <c r="G295" i="21"/>
  <c r="E298" i="21"/>
  <c r="E297" i="21"/>
  <c r="E296" i="21"/>
  <c r="E295" i="21"/>
  <c r="J293" i="21"/>
  <c r="I293" i="21"/>
  <c r="H293" i="21"/>
  <c r="G293" i="21"/>
  <c r="F293" i="21"/>
  <c r="E299" i="21" l="1"/>
  <c r="E293" i="21"/>
  <c r="E571" i="21"/>
  <c r="G543" i="21"/>
  <c r="E558" i="21"/>
  <c r="E557" i="21"/>
  <c r="E556" i="21"/>
  <c r="E555" i="21"/>
  <c r="J553" i="21"/>
  <c r="I553" i="21"/>
  <c r="H553" i="21"/>
  <c r="G553" i="21"/>
  <c r="F553" i="21"/>
  <c r="E552" i="21"/>
  <c r="E551" i="21"/>
  <c r="E550" i="21"/>
  <c r="E549" i="21"/>
  <c r="J547" i="21"/>
  <c r="I547" i="21"/>
  <c r="H547" i="21"/>
  <c r="G547" i="21"/>
  <c r="F547" i="21"/>
  <c r="E547" i="21" l="1"/>
  <c r="E553" i="21"/>
  <c r="E377" i="21"/>
  <c r="E376" i="21"/>
  <c r="E375" i="21"/>
  <c r="E374" i="21"/>
  <c r="J372" i="21"/>
  <c r="I372" i="21"/>
  <c r="H372" i="21"/>
  <c r="G372" i="21"/>
  <c r="F372" i="21"/>
  <c r="G289" i="21"/>
  <c r="E570" i="21"/>
  <c r="E569" i="21"/>
  <c r="E568" i="21"/>
  <c r="E567" i="21"/>
  <c r="E565" i="21" s="1"/>
  <c r="J565" i="21"/>
  <c r="I565" i="21"/>
  <c r="H565" i="21"/>
  <c r="G565" i="21"/>
  <c r="F565" i="21"/>
  <c r="E564" i="21"/>
  <c r="E563" i="21"/>
  <c r="E562" i="21"/>
  <c r="E561" i="21"/>
  <c r="J559" i="21"/>
  <c r="I559" i="21"/>
  <c r="H559" i="21"/>
  <c r="G559" i="21"/>
  <c r="F559" i="21"/>
  <c r="E546" i="21"/>
  <c r="E545" i="21"/>
  <c r="E544" i="21"/>
  <c r="E543" i="21"/>
  <c r="J541" i="21"/>
  <c r="I541" i="21"/>
  <c r="H541" i="21"/>
  <c r="G541" i="21"/>
  <c r="F541" i="21"/>
  <c r="E540" i="21"/>
  <c r="E539" i="21"/>
  <c r="E538" i="21"/>
  <c r="E537" i="21"/>
  <c r="E535" i="21" s="1"/>
  <c r="J535" i="21"/>
  <c r="I535" i="21"/>
  <c r="H535" i="21"/>
  <c r="G535" i="21"/>
  <c r="F535" i="21"/>
  <c r="E534" i="21"/>
  <c r="E533" i="21"/>
  <c r="E532" i="21"/>
  <c r="E531" i="21"/>
  <c r="J529" i="21"/>
  <c r="I529" i="21"/>
  <c r="H529" i="21"/>
  <c r="G529" i="21"/>
  <c r="F529" i="21"/>
  <c r="E528" i="21"/>
  <c r="E527" i="21"/>
  <c r="E526" i="21"/>
  <c r="E525" i="21"/>
  <c r="J523" i="21"/>
  <c r="I523" i="21"/>
  <c r="H523" i="21"/>
  <c r="G523" i="21"/>
  <c r="F523" i="21"/>
  <c r="E522" i="21"/>
  <c r="E521" i="21"/>
  <c r="E520" i="21"/>
  <c r="E519" i="21"/>
  <c r="J517" i="21"/>
  <c r="I517" i="21"/>
  <c r="H517" i="21"/>
  <c r="G517" i="21"/>
  <c r="F517" i="21"/>
  <c r="E516" i="21"/>
  <c r="E515" i="21"/>
  <c r="E514" i="21"/>
  <c r="E513" i="21"/>
  <c r="E511" i="21" s="1"/>
  <c r="J511" i="21"/>
  <c r="I511" i="21"/>
  <c r="H511" i="21"/>
  <c r="G511" i="21"/>
  <c r="F511" i="21"/>
  <c r="E510" i="21"/>
  <c r="E509" i="21"/>
  <c r="E508" i="21"/>
  <c r="E507" i="21"/>
  <c r="J505" i="21"/>
  <c r="I505" i="21"/>
  <c r="H505" i="21"/>
  <c r="G505" i="21"/>
  <c r="F505" i="21"/>
  <c r="E504" i="21"/>
  <c r="E503" i="21"/>
  <c r="E502" i="21"/>
  <c r="F501" i="21"/>
  <c r="E501" i="21"/>
  <c r="J499" i="21"/>
  <c r="I499" i="21"/>
  <c r="H499" i="21"/>
  <c r="G499" i="21"/>
  <c r="F499" i="21"/>
  <c r="E498" i="21"/>
  <c r="E497" i="21"/>
  <c r="E496" i="21"/>
  <c r="E495" i="21"/>
  <c r="J493" i="21"/>
  <c r="I493" i="21"/>
  <c r="H493" i="21"/>
  <c r="G493" i="21"/>
  <c r="F493" i="21"/>
  <c r="E492" i="21"/>
  <c r="E491" i="21"/>
  <c r="E490" i="21"/>
  <c r="E489" i="21"/>
  <c r="J487" i="21"/>
  <c r="I487" i="21"/>
  <c r="H487" i="21"/>
  <c r="G487" i="21"/>
  <c r="F487" i="21"/>
  <c r="E486" i="21"/>
  <c r="E485" i="21"/>
  <c r="E484" i="21"/>
  <c r="F483" i="21"/>
  <c r="F481" i="21" s="1"/>
  <c r="J481" i="21"/>
  <c r="I481" i="21"/>
  <c r="H481" i="21"/>
  <c r="G481" i="21"/>
  <c r="E480" i="21"/>
  <c r="E479" i="21"/>
  <c r="E478" i="21"/>
  <c r="F477" i="21"/>
  <c r="E477" i="21" s="1"/>
  <c r="J475" i="21"/>
  <c r="I475" i="21"/>
  <c r="H475" i="21"/>
  <c r="G475" i="21"/>
  <c r="J474" i="21"/>
  <c r="I474" i="21"/>
  <c r="H474" i="21"/>
  <c r="G474" i="21"/>
  <c r="F474" i="21"/>
  <c r="J473" i="21"/>
  <c r="I473" i="21"/>
  <c r="H473" i="21"/>
  <c r="G473" i="21"/>
  <c r="F473" i="21"/>
  <c r="J472" i="21"/>
  <c r="I472" i="21"/>
  <c r="H472" i="21"/>
  <c r="G472" i="21"/>
  <c r="F472" i="21"/>
  <c r="J471" i="21"/>
  <c r="I471" i="21"/>
  <c r="H471" i="21"/>
  <c r="G471" i="21"/>
  <c r="E462" i="21"/>
  <c r="E461" i="21"/>
  <c r="E460" i="21"/>
  <c r="E459" i="21"/>
  <c r="J457" i="21"/>
  <c r="I457" i="21"/>
  <c r="H457" i="21"/>
  <c r="G457" i="21"/>
  <c r="F457" i="21"/>
  <c r="E456" i="21"/>
  <c r="E455" i="21"/>
  <c r="E454" i="21"/>
  <c r="E453" i="21"/>
  <c r="J451" i="21"/>
  <c r="I451" i="21"/>
  <c r="H451" i="21"/>
  <c r="G451" i="21"/>
  <c r="F451" i="21"/>
  <c r="E450" i="21"/>
  <c r="E449" i="21"/>
  <c r="E448" i="21"/>
  <c r="E447" i="21"/>
  <c r="J445" i="21"/>
  <c r="I445" i="21"/>
  <c r="H445" i="21"/>
  <c r="G445" i="21"/>
  <c r="F445" i="21"/>
  <c r="E444" i="21"/>
  <c r="E443" i="21"/>
  <c r="E442" i="21"/>
  <c r="E441" i="21"/>
  <c r="E439" i="21" s="1"/>
  <c r="J439" i="21"/>
  <c r="I439" i="21"/>
  <c r="H439" i="21"/>
  <c r="G439" i="21"/>
  <c r="F439" i="21"/>
  <c r="J438" i="21"/>
  <c r="I438" i="21"/>
  <c r="H438" i="21"/>
  <c r="G438" i="21"/>
  <c r="F438" i="21"/>
  <c r="J437" i="21"/>
  <c r="I437" i="21"/>
  <c r="H437" i="21"/>
  <c r="G437" i="21"/>
  <c r="F437" i="21"/>
  <c r="J436" i="21"/>
  <c r="I436" i="21"/>
  <c r="H436" i="21"/>
  <c r="G436" i="21"/>
  <c r="F436" i="21"/>
  <c r="E432" i="21"/>
  <c r="E431" i="21"/>
  <c r="E430" i="21"/>
  <c r="E429" i="21"/>
  <c r="J427" i="21"/>
  <c r="I427" i="21"/>
  <c r="H427" i="21"/>
  <c r="G427" i="21"/>
  <c r="F427" i="21"/>
  <c r="E426" i="21"/>
  <c r="E425" i="21"/>
  <c r="E424" i="21"/>
  <c r="E423" i="21"/>
  <c r="J421" i="21"/>
  <c r="I421" i="21"/>
  <c r="H421" i="21"/>
  <c r="G421" i="21"/>
  <c r="F421" i="21"/>
  <c r="E420" i="21"/>
  <c r="E419" i="21"/>
  <c r="E418" i="21"/>
  <c r="E417" i="21"/>
  <c r="J415" i="21"/>
  <c r="I415" i="21"/>
  <c r="H415" i="21"/>
  <c r="G415" i="21"/>
  <c r="F415" i="21"/>
  <c r="E414" i="21"/>
  <c r="E413" i="21"/>
  <c r="E412" i="21"/>
  <c r="E411" i="21"/>
  <c r="J409" i="21"/>
  <c r="I409" i="21"/>
  <c r="H409" i="21"/>
  <c r="G409" i="21"/>
  <c r="F409" i="21"/>
  <c r="J408" i="21"/>
  <c r="I408" i="21"/>
  <c r="H408" i="21"/>
  <c r="G408" i="21"/>
  <c r="F408" i="21"/>
  <c r="J407" i="21"/>
  <c r="I407" i="21"/>
  <c r="H407" i="21"/>
  <c r="G407" i="21"/>
  <c r="F407" i="21"/>
  <c r="J406" i="21"/>
  <c r="I406" i="21"/>
  <c r="H406" i="21"/>
  <c r="G406" i="21"/>
  <c r="F406" i="21"/>
  <c r="J405" i="21"/>
  <c r="I405" i="21"/>
  <c r="H405" i="21"/>
  <c r="G405" i="21"/>
  <c r="F405" i="21"/>
  <c r="E402" i="21"/>
  <c r="E401" i="21"/>
  <c r="E400" i="21"/>
  <c r="E399" i="21"/>
  <c r="E397" i="21" s="1"/>
  <c r="J397" i="21"/>
  <c r="I397" i="21"/>
  <c r="H397" i="21"/>
  <c r="G397" i="21"/>
  <c r="F397" i="21"/>
  <c r="E396" i="21"/>
  <c r="E395" i="21"/>
  <c r="E394" i="21"/>
  <c r="E393" i="21"/>
  <c r="J391" i="21"/>
  <c r="I391" i="21"/>
  <c r="H391" i="21"/>
  <c r="G391" i="21"/>
  <c r="F391" i="21"/>
  <c r="J390" i="21"/>
  <c r="I390" i="21"/>
  <c r="H390" i="21"/>
  <c r="G390" i="21"/>
  <c r="F390" i="21"/>
  <c r="J389" i="21"/>
  <c r="I389" i="21"/>
  <c r="H389" i="21"/>
  <c r="G389" i="21"/>
  <c r="F389" i="21"/>
  <c r="J388" i="21"/>
  <c r="I388" i="21"/>
  <c r="H388" i="21"/>
  <c r="G388" i="21"/>
  <c r="F388" i="21"/>
  <c r="J387" i="21"/>
  <c r="I387" i="21"/>
  <c r="H387" i="21"/>
  <c r="G387" i="21"/>
  <c r="F387" i="21"/>
  <c r="E371" i="21"/>
  <c r="E370" i="21"/>
  <c r="E369" i="21"/>
  <c r="E368" i="21"/>
  <c r="J366" i="21"/>
  <c r="I366" i="21"/>
  <c r="H366" i="21"/>
  <c r="G366" i="21"/>
  <c r="F366" i="21"/>
  <c r="E365" i="21"/>
  <c r="E360" i="21" s="1"/>
  <c r="E364" i="21"/>
  <c r="E363" i="21"/>
  <c r="E362" i="21"/>
  <c r="J360" i="21"/>
  <c r="I360" i="21"/>
  <c r="H360" i="21"/>
  <c r="G360" i="21"/>
  <c r="F360" i="21"/>
  <c r="E359" i="21"/>
  <c r="E358" i="21"/>
  <c r="E357" i="21"/>
  <c r="E356" i="21"/>
  <c r="E354" i="21" s="1"/>
  <c r="J354" i="21"/>
  <c r="I354" i="21"/>
  <c r="H354" i="21"/>
  <c r="G354" i="21"/>
  <c r="F354" i="21"/>
  <c r="E353" i="21"/>
  <c r="E352" i="21"/>
  <c r="E351" i="21"/>
  <c r="E350" i="21"/>
  <c r="J348" i="21"/>
  <c r="I348" i="21"/>
  <c r="H348" i="21"/>
  <c r="G348" i="21"/>
  <c r="F348" i="21"/>
  <c r="J347" i="21"/>
  <c r="I347" i="21"/>
  <c r="H347" i="21"/>
  <c r="G347" i="21"/>
  <c r="F347" i="21"/>
  <c r="J346" i="21"/>
  <c r="I346" i="21"/>
  <c r="H346" i="21"/>
  <c r="G346" i="21"/>
  <c r="F346" i="21"/>
  <c r="J345" i="21"/>
  <c r="I345" i="21"/>
  <c r="H345" i="21"/>
  <c r="G345" i="21"/>
  <c r="F345" i="21"/>
  <c r="J344" i="21"/>
  <c r="I344" i="21"/>
  <c r="H344" i="21"/>
  <c r="G344" i="21"/>
  <c r="F344" i="21"/>
  <c r="E341" i="21"/>
  <c r="E340" i="21"/>
  <c r="E339" i="21"/>
  <c r="E338" i="21"/>
  <c r="J336" i="21"/>
  <c r="I336" i="21"/>
  <c r="H336" i="21"/>
  <c r="G336" i="21"/>
  <c r="F336" i="21"/>
  <c r="E336" i="21"/>
  <c r="E335" i="21"/>
  <c r="E334" i="21"/>
  <c r="E333" i="21"/>
  <c r="E332" i="21"/>
  <c r="E330" i="21" s="1"/>
  <c r="J330" i="21"/>
  <c r="I330" i="21"/>
  <c r="H330" i="21"/>
  <c r="G330" i="21"/>
  <c r="F330" i="21"/>
  <c r="E329" i="21"/>
  <c r="E328" i="21"/>
  <c r="E327" i="21"/>
  <c r="E324" i="21" s="1"/>
  <c r="E326" i="21"/>
  <c r="J324" i="21"/>
  <c r="I324" i="21"/>
  <c r="H324" i="21"/>
  <c r="G324" i="21"/>
  <c r="F324" i="21"/>
  <c r="E323" i="21"/>
  <c r="E322" i="21"/>
  <c r="E321" i="21"/>
  <c r="E320" i="21"/>
  <c r="J318" i="21"/>
  <c r="I318" i="21"/>
  <c r="H318" i="21"/>
  <c r="G318" i="21"/>
  <c r="F318" i="21"/>
  <c r="J317" i="21"/>
  <c r="J383" i="21" s="1"/>
  <c r="I317" i="21"/>
  <c r="H317" i="21"/>
  <c r="G317" i="21"/>
  <c r="F317" i="21"/>
  <c r="F383" i="21" s="1"/>
  <c r="J316" i="21"/>
  <c r="I316" i="21"/>
  <c r="H316" i="21"/>
  <c r="G316" i="21"/>
  <c r="G382" i="21" s="1"/>
  <c r="F316" i="21"/>
  <c r="J315" i="21"/>
  <c r="I315" i="21"/>
  <c r="H315" i="21"/>
  <c r="H381" i="21" s="1"/>
  <c r="G315" i="21"/>
  <c r="F315" i="21"/>
  <c r="J314" i="21"/>
  <c r="I314" i="21"/>
  <c r="H314" i="21"/>
  <c r="G314" i="21"/>
  <c r="F314" i="21"/>
  <c r="F380" i="21" s="1"/>
  <c r="E292" i="21"/>
  <c r="E291" i="21"/>
  <c r="E290" i="21"/>
  <c r="E289" i="21"/>
  <c r="J287" i="21"/>
  <c r="I287" i="21"/>
  <c r="H287" i="21"/>
  <c r="G287" i="21"/>
  <c r="F287" i="21"/>
  <c r="E286" i="21"/>
  <c r="E285" i="21"/>
  <c r="E284" i="21"/>
  <c r="E283" i="21"/>
  <c r="J281" i="21"/>
  <c r="I281" i="21"/>
  <c r="H281" i="21"/>
  <c r="G281" i="21"/>
  <c r="F281" i="21"/>
  <c r="E280" i="21"/>
  <c r="E279" i="21"/>
  <c r="E278" i="21"/>
  <c r="E277" i="21"/>
  <c r="J275" i="21"/>
  <c r="I275" i="21"/>
  <c r="H275" i="21"/>
  <c r="G275" i="21"/>
  <c r="F275" i="21"/>
  <c r="E274" i="21"/>
  <c r="E273" i="21"/>
  <c r="E272" i="21"/>
  <c r="E271" i="21"/>
  <c r="J269" i="21"/>
  <c r="I269" i="21"/>
  <c r="H269" i="21"/>
  <c r="G269" i="21"/>
  <c r="F269" i="21"/>
  <c r="J268" i="21"/>
  <c r="I268" i="21"/>
  <c r="H268" i="21"/>
  <c r="G268" i="21"/>
  <c r="F268" i="21"/>
  <c r="J267" i="21"/>
  <c r="I267" i="21"/>
  <c r="H267" i="21"/>
  <c r="G267" i="21"/>
  <c r="F267" i="21"/>
  <c r="J266" i="21"/>
  <c r="I266" i="21"/>
  <c r="H266" i="21"/>
  <c r="G266" i="21"/>
  <c r="F266" i="21"/>
  <c r="J265" i="21"/>
  <c r="I265" i="21"/>
  <c r="H265" i="21"/>
  <c r="G265" i="21"/>
  <c r="F265" i="21"/>
  <c r="E262" i="21"/>
  <c r="E261" i="21"/>
  <c r="E260" i="21"/>
  <c r="E259" i="21"/>
  <c r="J257" i="21"/>
  <c r="I257" i="21"/>
  <c r="H257" i="21"/>
  <c r="G257" i="21"/>
  <c r="F257" i="21"/>
  <c r="E256" i="21"/>
  <c r="E255" i="21"/>
  <c r="E254" i="21"/>
  <c r="E253" i="21"/>
  <c r="J251" i="21"/>
  <c r="I251" i="21"/>
  <c r="H251" i="21"/>
  <c r="G251" i="21"/>
  <c r="F251" i="21"/>
  <c r="E250" i="21"/>
  <c r="E249" i="21"/>
  <c r="E248" i="21"/>
  <c r="E247" i="21"/>
  <c r="J245" i="21"/>
  <c r="I245" i="21"/>
  <c r="H245" i="21"/>
  <c r="G245" i="21"/>
  <c r="F245" i="21"/>
  <c r="E244" i="21"/>
  <c r="E243" i="21"/>
  <c r="E242" i="21"/>
  <c r="E241" i="21"/>
  <c r="J239" i="21"/>
  <c r="I239" i="21"/>
  <c r="H239" i="21"/>
  <c r="G239" i="21"/>
  <c r="F239" i="21"/>
  <c r="E238" i="21"/>
  <c r="E237" i="21"/>
  <c r="F236" i="21"/>
  <c r="F230" i="21" s="1"/>
  <c r="F235" i="21"/>
  <c r="E235" i="21"/>
  <c r="J233" i="21"/>
  <c r="I233" i="21"/>
  <c r="H233" i="21"/>
  <c r="G233" i="21"/>
  <c r="J232" i="21"/>
  <c r="I232" i="21"/>
  <c r="H232" i="21"/>
  <c r="G232" i="21"/>
  <c r="F232" i="21"/>
  <c r="J231" i="21"/>
  <c r="I231" i="21"/>
  <c r="H231" i="21"/>
  <c r="G231" i="21"/>
  <c r="F231" i="21"/>
  <c r="J230" i="21"/>
  <c r="I230" i="21"/>
  <c r="H230" i="21"/>
  <c r="G230" i="21"/>
  <c r="J229" i="21"/>
  <c r="I229" i="21"/>
  <c r="H229" i="21"/>
  <c r="G229" i="21"/>
  <c r="F229" i="21"/>
  <c r="E226" i="21"/>
  <c r="E225" i="21"/>
  <c r="E224" i="21"/>
  <c r="E223" i="21"/>
  <c r="J221" i="21"/>
  <c r="I221" i="21"/>
  <c r="H221" i="21"/>
  <c r="G221" i="21"/>
  <c r="F221" i="21"/>
  <c r="E220" i="21"/>
  <c r="E219" i="21"/>
  <c r="E218" i="21"/>
  <c r="E217" i="21"/>
  <c r="J215" i="21"/>
  <c r="I215" i="21"/>
  <c r="H215" i="21"/>
  <c r="G215" i="21"/>
  <c r="F215" i="21"/>
  <c r="E214" i="21"/>
  <c r="E213" i="21"/>
  <c r="E212" i="21"/>
  <c r="F211" i="21"/>
  <c r="E211" i="21" s="1"/>
  <c r="J209" i="21"/>
  <c r="I209" i="21"/>
  <c r="H209" i="21"/>
  <c r="G209" i="21"/>
  <c r="F209" i="21"/>
  <c r="E208" i="21"/>
  <c r="E207" i="21"/>
  <c r="F206" i="21"/>
  <c r="F205" i="21"/>
  <c r="F203" i="21" s="1"/>
  <c r="J203" i="21"/>
  <c r="I203" i="21"/>
  <c r="H203" i="21"/>
  <c r="G203" i="21"/>
  <c r="J202" i="21"/>
  <c r="I202" i="21"/>
  <c r="H202" i="21"/>
  <c r="G202" i="21"/>
  <c r="F202" i="21"/>
  <c r="J201" i="21"/>
  <c r="I201" i="21"/>
  <c r="H201" i="21"/>
  <c r="G201" i="21"/>
  <c r="F201" i="21"/>
  <c r="J200" i="21"/>
  <c r="I200" i="21"/>
  <c r="H200" i="21"/>
  <c r="G200" i="21"/>
  <c r="J199" i="21"/>
  <c r="I199" i="21"/>
  <c r="H199" i="21"/>
  <c r="G199" i="21"/>
  <c r="G307" i="21" s="1"/>
  <c r="E196" i="21"/>
  <c r="E195" i="21"/>
  <c r="E194" i="21"/>
  <c r="E193" i="21"/>
  <c r="J191" i="21"/>
  <c r="I191" i="21"/>
  <c r="H191" i="21"/>
  <c r="G191" i="21"/>
  <c r="F191" i="21"/>
  <c r="E190" i="21"/>
  <c r="E189" i="21"/>
  <c r="E188" i="21"/>
  <c r="F187" i="21"/>
  <c r="E187" i="21" s="1"/>
  <c r="J185" i="21"/>
  <c r="I185" i="21"/>
  <c r="H185" i="21"/>
  <c r="G185" i="21"/>
  <c r="F185" i="21"/>
  <c r="E171" i="21"/>
  <c r="E170" i="21"/>
  <c r="E169" i="21"/>
  <c r="E168" i="21"/>
  <c r="J166" i="21"/>
  <c r="I166" i="21"/>
  <c r="H166" i="21"/>
  <c r="G166" i="21"/>
  <c r="F166" i="21"/>
  <c r="E165" i="21"/>
  <c r="E164" i="21"/>
  <c r="E163" i="21"/>
  <c r="E162" i="21"/>
  <c r="J160" i="21"/>
  <c r="I160" i="21"/>
  <c r="H160" i="21"/>
  <c r="G160" i="21"/>
  <c r="F160" i="21"/>
  <c r="E159" i="21"/>
  <c r="E158" i="21"/>
  <c r="E157" i="21"/>
  <c r="E156" i="21"/>
  <c r="J154" i="21"/>
  <c r="I154" i="21"/>
  <c r="H154" i="21"/>
  <c r="G154" i="21"/>
  <c r="F154" i="21"/>
  <c r="E153" i="21"/>
  <c r="E152" i="21"/>
  <c r="E151" i="21"/>
  <c r="E150" i="21"/>
  <c r="J148" i="21"/>
  <c r="I148" i="21"/>
  <c r="H148" i="21"/>
  <c r="G148" i="21"/>
  <c r="F148" i="21"/>
  <c r="E147" i="21"/>
  <c r="E146" i="21"/>
  <c r="E145" i="21"/>
  <c r="E144" i="21"/>
  <c r="J142" i="21"/>
  <c r="I142" i="21"/>
  <c r="H142" i="21"/>
  <c r="G142" i="21"/>
  <c r="F142" i="21"/>
  <c r="E141" i="21"/>
  <c r="E140" i="21"/>
  <c r="E139" i="21"/>
  <c r="E138" i="21"/>
  <c r="J136" i="21"/>
  <c r="I136" i="21"/>
  <c r="H136" i="21"/>
  <c r="G136" i="21"/>
  <c r="F136" i="21"/>
  <c r="J135" i="21"/>
  <c r="I135" i="21"/>
  <c r="H135" i="21"/>
  <c r="G135" i="21"/>
  <c r="F135" i="21"/>
  <c r="J134" i="21"/>
  <c r="I134" i="21"/>
  <c r="H134" i="21"/>
  <c r="G134" i="21"/>
  <c r="F134" i="21"/>
  <c r="J133" i="21"/>
  <c r="I133" i="21"/>
  <c r="H133" i="21"/>
  <c r="G133" i="21"/>
  <c r="F133" i="21"/>
  <c r="J132" i="21"/>
  <c r="I132" i="21"/>
  <c r="H132" i="21"/>
  <c r="G132" i="21"/>
  <c r="F132" i="21"/>
  <c r="E129" i="21"/>
  <c r="E128" i="21"/>
  <c r="E127" i="21"/>
  <c r="E126" i="21"/>
  <c r="J124" i="21"/>
  <c r="I124" i="21"/>
  <c r="H124" i="21"/>
  <c r="G124" i="21"/>
  <c r="F124" i="21"/>
  <c r="E123" i="21"/>
  <c r="E122" i="21"/>
  <c r="E121" i="21"/>
  <c r="E120" i="21"/>
  <c r="J118" i="21"/>
  <c r="I118" i="21"/>
  <c r="H118" i="21"/>
  <c r="G118" i="21"/>
  <c r="F118" i="21"/>
  <c r="E117" i="21"/>
  <c r="E116" i="21"/>
  <c r="E115" i="21"/>
  <c r="E114" i="21"/>
  <c r="J112" i="21"/>
  <c r="I112" i="21"/>
  <c r="H112" i="21"/>
  <c r="G112" i="21"/>
  <c r="F112" i="21"/>
  <c r="E111" i="21"/>
  <c r="E110" i="21"/>
  <c r="E109" i="21"/>
  <c r="E108" i="21"/>
  <c r="J106" i="21"/>
  <c r="I106" i="21"/>
  <c r="H106" i="21"/>
  <c r="G106" i="21"/>
  <c r="F106" i="21"/>
  <c r="E105" i="21"/>
  <c r="E104" i="21"/>
  <c r="E103" i="21"/>
  <c r="E102" i="21"/>
  <c r="J100" i="21"/>
  <c r="I100" i="21"/>
  <c r="H100" i="21"/>
  <c r="G100" i="21"/>
  <c r="F100" i="21"/>
  <c r="E99" i="21"/>
  <c r="E98" i="21"/>
  <c r="E97" i="21"/>
  <c r="E96" i="21"/>
  <c r="J94" i="21"/>
  <c r="I94" i="21"/>
  <c r="H94" i="21"/>
  <c r="G94" i="21"/>
  <c r="F94" i="21"/>
  <c r="E93" i="21"/>
  <c r="E92" i="21"/>
  <c r="E91" i="21"/>
  <c r="E90" i="21"/>
  <c r="J88" i="21"/>
  <c r="I88" i="21"/>
  <c r="H88" i="21"/>
  <c r="G88" i="21"/>
  <c r="F88" i="21"/>
  <c r="J87" i="21"/>
  <c r="I87" i="21"/>
  <c r="H87" i="21"/>
  <c r="G87" i="21"/>
  <c r="F87" i="21"/>
  <c r="J86" i="21"/>
  <c r="I86" i="21"/>
  <c r="H86" i="21"/>
  <c r="G86" i="21"/>
  <c r="F86" i="21"/>
  <c r="J85" i="21"/>
  <c r="I85" i="21"/>
  <c r="H85" i="21"/>
  <c r="G85" i="21"/>
  <c r="F85" i="21"/>
  <c r="J84" i="21"/>
  <c r="I84" i="21"/>
  <c r="H84" i="21"/>
  <c r="G84" i="21"/>
  <c r="F84" i="21"/>
  <c r="E81" i="21"/>
  <c r="E80" i="21"/>
  <c r="E79" i="21"/>
  <c r="F78" i="21"/>
  <c r="F76" i="21" s="1"/>
  <c r="J76" i="21"/>
  <c r="I76" i="21"/>
  <c r="H76" i="21"/>
  <c r="G76" i="21"/>
  <c r="E75" i="21"/>
  <c r="E74" i="21"/>
  <c r="E73" i="21"/>
  <c r="F72" i="21"/>
  <c r="E72" i="21" s="1"/>
  <c r="J70" i="21"/>
  <c r="I70" i="21"/>
  <c r="H70" i="21"/>
  <c r="G70" i="21"/>
  <c r="J69" i="21"/>
  <c r="I69" i="21"/>
  <c r="H69" i="21"/>
  <c r="G69" i="21"/>
  <c r="F69" i="21"/>
  <c r="J68" i="21"/>
  <c r="I68" i="21"/>
  <c r="H68" i="21"/>
  <c r="G68" i="21"/>
  <c r="F68" i="21"/>
  <c r="J67" i="21"/>
  <c r="I67" i="21"/>
  <c r="H67" i="21"/>
  <c r="G67" i="21"/>
  <c r="F67" i="21"/>
  <c r="J66" i="21"/>
  <c r="I66" i="21"/>
  <c r="I180" i="21" s="1"/>
  <c r="H66" i="21"/>
  <c r="G66" i="21"/>
  <c r="E63" i="21"/>
  <c r="E62" i="21"/>
  <c r="E61" i="21"/>
  <c r="E60" i="21"/>
  <c r="J58" i="21"/>
  <c r="I58" i="21"/>
  <c r="H58" i="21"/>
  <c r="G58" i="21"/>
  <c r="F58" i="21"/>
  <c r="E57" i="21"/>
  <c r="E56" i="21"/>
  <c r="E55" i="21"/>
  <c r="F54" i="21"/>
  <c r="E54" i="21" s="1"/>
  <c r="J52" i="21"/>
  <c r="I52" i="21"/>
  <c r="H52" i="21"/>
  <c r="G52" i="21"/>
  <c r="F52" i="21"/>
  <c r="E51" i="21"/>
  <c r="E50" i="21"/>
  <c r="E49" i="21"/>
  <c r="E48" i="21"/>
  <c r="E46" i="21" s="1"/>
  <c r="J46" i="21"/>
  <c r="I46" i="21"/>
  <c r="H46" i="21"/>
  <c r="G46" i="21"/>
  <c r="F46" i="21"/>
  <c r="E45" i="21"/>
  <c r="E44" i="21"/>
  <c r="E43" i="21"/>
  <c r="E42" i="21"/>
  <c r="J40" i="21"/>
  <c r="I40" i="21"/>
  <c r="H40" i="21"/>
  <c r="G40" i="21"/>
  <c r="F40" i="21"/>
  <c r="E39" i="21"/>
  <c r="E38" i="21"/>
  <c r="E37" i="21"/>
  <c r="E36" i="21"/>
  <c r="J34" i="21"/>
  <c r="I34" i="21"/>
  <c r="H34" i="21"/>
  <c r="G34" i="21"/>
  <c r="F34" i="21"/>
  <c r="E33" i="21"/>
  <c r="E32" i="21"/>
  <c r="E31" i="21"/>
  <c r="E30" i="21"/>
  <c r="J28" i="21"/>
  <c r="I28" i="21"/>
  <c r="H28" i="21"/>
  <c r="G28" i="21"/>
  <c r="F28" i="21"/>
  <c r="E27" i="21"/>
  <c r="E26" i="21"/>
  <c r="E25" i="21"/>
  <c r="E24" i="21"/>
  <c r="J22" i="21"/>
  <c r="I22" i="21"/>
  <c r="H22" i="21"/>
  <c r="G22" i="21"/>
  <c r="F22" i="21"/>
  <c r="E21" i="21"/>
  <c r="E20" i="21"/>
  <c r="E19" i="21"/>
  <c r="E18" i="21"/>
  <c r="J16" i="21"/>
  <c r="I16" i="21"/>
  <c r="H16" i="21"/>
  <c r="G16" i="21"/>
  <c r="F16" i="21"/>
  <c r="J15" i="21"/>
  <c r="I15" i="21"/>
  <c r="H15" i="21"/>
  <c r="G15" i="21"/>
  <c r="F15" i="21"/>
  <c r="J14" i="21"/>
  <c r="I14" i="21"/>
  <c r="H14" i="21"/>
  <c r="G14" i="21"/>
  <c r="F14" i="21"/>
  <c r="J13" i="21"/>
  <c r="I13" i="21"/>
  <c r="H13" i="21"/>
  <c r="G13" i="21"/>
  <c r="F13" i="21"/>
  <c r="J12" i="21"/>
  <c r="I12" i="21"/>
  <c r="H12" i="21"/>
  <c r="G12" i="21"/>
  <c r="H181" i="21" l="1"/>
  <c r="G182" i="21"/>
  <c r="F183" i="21"/>
  <c r="J183" i="21"/>
  <c r="E28" i="21"/>
  <c r="J180" i="21"/>
  <c r="H182" i="21"/>
  <c r="E451" i="21"/>
  <c r="F12" i="21"/>
  <c r="E12" i="21" s="1"/>
  <c r="G180" i="21"/>
  <c r="J181" i="21"/>
  <c r="H183" i="21"/>
  <c r="E106" i="21"/>
  <c r="E166" i="21"/>
  <c r="I307" i="21"/>
  <c r="E366" i="21"/>
  <c r="H180" i="21"/>
  <c r="G181" i="21"/>
  <c r="F182" i="21"/>
  <c r="J182" i="21"/>
  <c r="I183" i="21"/>
  <c r="E209" i="21"/>
  <c r="E529" i="21"/>
  <c r="E22" i="21"/>
  <c r="E52" i="21"/>
  <c r="G183" i="21"/>
  <c r="E251" i="21"/>
  <c r="E445" i="21"/>
  <c r="I181" i="21"/>
  <c r="E229" i="21"/>
  <c r="E257" i="21"/>
  <c r="E587" i="21"/>
  <c r="F181" i="21"/>
  <c r="I182" i="21"/>
  <c r="E221" i="21"/>
  <c r="E523" i="21"/>
  <c r="E541" i="21"/>
  <c r="E34" i="21"/>
  <c r="F66" i="21"/>
  <c r="E70" i="21"/>
  <c r="E78" i="21"/>
  <c r="E76" i="21" s="1"/>
  <c r="E94" i="21"/>
  <c r="E100" i="21"/>
  <c r="E142" i="21"/>
  <c r="E191" i="21"/>
  <c r="F199" i="21"/>
  <c r="E199" i="21" s="1"/>
  <c r="J307" i="21"/>
  <c r="E205" i="21"/>
  <c r="E215" i="21"/>
  <c r="E239" i="21"/>
  <c r="G380" i="21"/>
  <c r="E421" i="21"/>
  <c r="E427" i="21"/>
  <c r="E475" i="21"/>
  <c r="E487" i="21"/>
  <c r="E517" i="21"/>
  <c r="E559" i="21"/>
  <c r="H380" i="21"/>
  <c r="E457" i="21"/>
  <c r="E505" i="21"/>
  <c r="E16" i="21"/>
  <c r="E154" i="21"/>
  <c r="E160" i="21"/>
  <c r="H307" i="21"/>
  <c r="F233" i="21"/>
  <c r="E245" i="21"/>
  <c r="E275" i="21"/>
  <c r="E318" i="21"/>
  <c r="I380" i="21"/>
  <c r="E405" i="21"/>
  <c r="E409" i="21"/>
  <c r="E415" i="21"/>
  <c r="E493" i="21"/>
  <c r="E499" i="21"/>
  <c r="E40" i="21"/>
  <c r="E118" i="21"/>
  <c r="J380" i="21"/>
  <c r="E348" i="21"/>
  <c r="E387" i="21"/>
  <c r="E391" i="21"/>
  <c r="G308" i="21"/>
  <c r="F309" i="21"/>
  <c r="J309" i="21"/>
  <c r="I310" i="21"/>
  <c r="I381" i="21"/>
  <c r="H382" i="21"/>
  <c r="G383" i="21"/>
  <c r="F381" i="21"/>
  <c r="J381" i="21"/>
  <c r="I382" i="21"/>
  <c r="H383" i="21"/>
  <c r="H308" i="21"/>
  <c r="G309" i="21"/>
  <c r="F310" i="21"/>
  <c r="J310" i="21"/>
  <c r="I308" i="21"/>
  <c r="H309" i="21"/>
  <c r="G310" i="21"/>
  <c r="G381" i="21"/>
  <c r="F382" i="21"/>
  <c r="J382" i="21"/>
  <c r="I383" i="21"/>
  <c r="J308" i="21"/>
  <c r="I309" i="21"/>
  <c r="H310" i="21"/>
  <c r="H433" i="21"/>
  <c r="F403" i="21"/>
  <c r="J403" i="21"/>
  <c r="E268" i="21"/>
  <c r="E372" i="21"/>
  <c r="E133" i="21"/>
  <c r="G227" i="21"/>
  <c r="E267" i="21"/>
  <c r="I130" i="21"/>
  <c r="F263" i="21"/>
  <c r="E287" i="21"/>
  <c r="E201" i="21"/>
  <c r="H342" i="21"/>
  <c r="G385" i="21"/>
  <c r="I433" i="21"/>
  <c r="E266" i="21"/>
  <c r="E67" i="21"/>
  <c r="G130" i="21"/>
  <c r="H130" i="21"/>
  <c r="H197" i="21"/>
  <c r="G342" i="21"/>
  <c r="J469" i="21"/>
  <c r="G10" i="21"/>
  <c r="H10" i="21"/>
  <c r="H227" i="21"/>
  <c r="I312" i="21"/>
  <c r="I403" i="21"/>
  <c r="G433" i="21"/>
  <c r="E436" i="21"/>
  <c r="H82" i="21"/>
  <c r="H385" i="21"/>
  <c r="I82" i="21"/>
  <c r="J263" i="21"/>
  <c r="I342" i="21"/>
  <c r="I469" i="21"/>
  <c r="E87" i="21"/>
  <c r="I263" i="21"/>
  <c r="E389" i="21"/>
  <c r="H64" i="21"/>
  <c r="J10" i="21"/>
  <c r="E13" i="21"/>
  <c r="J64" i="21"/>
  <c r="E69" i="21"/>
  <c r="G82" i="21"/>
  <c r="E85" i="21"/>
  <c r="J82" i="21"/>
  <c r="J130" i="21"/>
  <c r="E135" i="21"/>
  <c r="J197" i="21"/>
  <c r="E202" i="21"/>
  <c r="E345" i="21"/>
  <c r="E346" i="21"/>
  <c r="J385" i="21"/>
  <c r="E390" i="21"/>
  <c r="E407" i="21"/>
  <c r="E473" i="21"/>
  <c r="E474" i="21"/>
  <c r="E14" i="21"/>
  <c r="E231" i="21"/>
  <c r="E472" i="21"/>
  <c r="E15" i="21"/>
  <c r="J342" i="21"/>
  <c r="E347" i="21"/>
  <c r="E388" i="21"/>
  <c r="G469" i="21"/>
  <c r="I385" i="21"/>
  <c r="E438" i="21"/>
  <c r="H469" i="21"/>
  <c r="G64" i="21"/>
  <c r="G197" i="21"/>
  <c r="H312" i="21"/>
  <c r="E344" i="21"/>
  <c r="F342" i="21"/>
  <c r="I10" i="21"/>
  <c r="I227" i="21"/>
  <c r="E265" i="21"/>
  <c r="G263" i="21"/>
  <c r="J312" i="21"/>
  <c r="I64" i="21"/>
  <c r="F70" i="21"/>
  <c r="E86" i="21"/>
  <c r="E88" i="21"/>
  <c r="E148" i="21"/>
  <c r="E58" i="21"/>
  <c r="E68" i="21"/>
  <c r="F82" i="21"/>
  <c r="E84" i="21"/>
  <c r="E124" i="21"/>
  <c r="E134" i="21"/>
  <c r="E136" i="21"/>
  <c r="I197" i="21"/>
  <c r="F227" i="21"/>
  <c r="J227" i="21"/>
  <c r="E232" i="21"/>
  <c r="E236" i="21"/>
  <c r="E233" i="21" s="1"/>
  <c r="H263" i="21"/>
  <c r="E281" i="21"/>
  <c r="E316" i="21"/>
  <c r="E317" i="21"/>
  <c r="F64" i="21"/>
  <c r="E112" i="21"/>
  <c r="F130" i="21"/>
  <c r="E132" i="21"/>
  <c r="F200" i="21"/>
  <c r="F308" i="21" s="1"/>
  <c r="E206" i="21"/>
  <c r="E230" i="21"/>
  <c r="E269" i="21"/>
  <c r="F312" i="21"/>
  <c r="E314" i="21"/>
  <c r="G312" i="21"/>
  <c r="E315" i="21"/>
  <c r="F385" i="21"/>
  <c r="H403" i="21"/>
  <c r="F433" i="21"/>
  <c r="J433" i="21"/>
  <c r="F471" i="21"/>
  <c r="F475" i="21"/>
  <c r="E483" i="21"/>
  <c r="E481" i="21" s="1"/>
  <c r="E406" i="21"/>
  <c r="E408" i="21"/>
  <c r="E435" i="21"/>
  <c r="E437" i="21"/>
  <c r="G403" i="21"/>
  <c r="J378" i="21" l="1"/>
  <c r="F307" i="21"/>
  <c r="F10" i="21"/>
  <c r="E66" i="21"/>
  <c r="F180" i="21"/>
  <c r="E180" i="21" s="1"/>
  <c r="E203" i="21"/>
  <c r="J591" i="21"/>
  <c r="H21" i="33" s="1"/>
  <c r="F594" i="21"/>
  <c r="D24" i="33" s="1"/>
  <c r="D14" i="33" s="1"/>
  <c r="J592" i="21"/>
  <c r="H22" i="33" s="1"/>
  <c r="H12" i="33" s="1"/>
  <c r="H583" i="21"/>
  <c r="E385" i="21"/>
  <c r="H592" i="21"/>
  <c r="F22" i="33" s="1"/>
  <c r="F12" i="33" s="1"/>
  <c r="H378" i="21"/>
  <c r="G378" i="21"/>
  <c r="H593" i="21"/>
  <c r="F23" i="33" s="1"/>
  <c r="F13" i="33" s="1"/>
  <c r="I593" i="21"/>
  <c r="G23" i="33" s="1"/>
  <c r="G13" i="33" s="1"/>
  <c r="I378" i="21"/>
  <c r="G594" i="21"/>
  <c r="G592" i="21"/>
  <c r="I305" i="21"/>
  <c r="J594" i="21"/>
  <c r="H24" i="33" s="1"/>
  <c r="H14" i="33" s="1"/>
  <c r="E383" i="21"/>
  <c r="J583" i="21"/>
  <c r="E263" i="21"/>
  <c r="E381" i="21"/>
  <c r="J305" i="21"/>
  <c r="H594" i="21"/>
  <c r="F24" i="33" s="1"/>
  <c r="F14" i="33" s="1"/>
  <c r="G178" i="21"/>
  <c r="E588" i="21"/>
  <c r="E309" i="21"/>
  <c r="E10" i="21"/>
  <c r="E82" i="21"/>
  <c r="E403" i="21"/>
  <c r="H591" i="21"/>
  <c r="F21" i="33" s="1"/>
  <c r="I594" i="21"/>
  <c r="G24" i="33" s="1"/>
  <c r="G14" i="33" s="1"/>
  <c r="E64" i="21"/>
  <c r="I592" i="21"/>
  <c r="G22" i="33" s="1"/>
  <c r="G12" i="33" s="1"/>
  <c r="E342" i="21"/>
  <c r="E227" i="21"/>
  <c r="E130" i="21"/>
  <c r="G593" i="21"/>
  <c r="E23" i="33" s="1"/>
  <c r="E13" i="33" s="1"/>
  <c r="J593" i="21"/>
  <c r="H23" i="33" s="1"/>
  <c r="H13" i="33" s="1"/>
  <c r="G305" i="21"/>
  <c r="E471" i="21"/>
  <c r="E469" i="21" s="1"/>
  <c r="F469" i="21"/>
  <c r="E307" i="21"/>
  <c r="F305" i="21"/>
  <c r="E200" i="21"/>
  <c r="E197" i="21" s="1"/>
  <c r="I178" i="21"/>
  <c r="I591" i="21"/>
  <c r="G21" i="33" s="1"/>
  <c r="I583" i="21"/>
  <c r="E310" i="21"/>
  <c r="F178" i="21"/>
  <c r="G583" i="21"/>
  <c r="E183" i="21"/>
  <c r="E382" i="21"/>
  <c r="E586" i="21"/>
  <c r="H305" i="21"/>
  <c r="E312" i="21"/>
  <c r="G591" i="21"/>
  <c r="E21" i="33" s="1"/>
  <c r="E182" i="21"/>
  <c r="E181" i="21"/>
  <c r="H178" i="21"/>
  <c r="E433" i="21"/>
  <c r="F593" i="21"/>
  <c r="D23" i="33" s="1"/>
  <c r="D13" i="33" s="1"/>
  <c r="F197" i="21"/>
  <c r="J178" i="21"/>
  <c r="E380" i="21"/>
  <c r="F378" i="21"/>
  <c r="E22" i="33" l="1"/>
  <c r="E12" i="33" s="1"/>
  <c r="E13" i="29"/>
  <c r="E24" i="33"/>
  <c r="E14" i="33" s="1"/>
  <c r="E15" i="29"/>
  <c r="J589" i="21"/>
  <c r="E594" i="21"/>
  <c r="H589" i="21"/>
  <c r="E593" i="21"/>
  <c r="I589" i="21"/>
  <c r="G589" i="21"/>
  <c r="E378" i="21"/>
  <c r="E178" i="21"/>
  <c r="E308" i="21"/>
  <c r="E305" i="21" s="1"/>
  <c r="F592" i="21"/>
  <c r="E585" i="21"/>
  <c r="E583" i="21" s="1"/>
  <c r="F591" i="21"/>
  <c r="D21" i="33" s="1"/>
  <c r="D11" i="33" s="1"/>
  <c r="F583" i="21"/>
  <c r="E592" i="21" l="1"/>
  <c r="D22" i="33"/>
  <c r="D12" i="33" s="1"/>
  <c r="F589" i="21"/>
  <c r="E591" i="21"/>
  <c r="E589" i="21" s="1"/>
  <c r="G13" i="23" l="1"/>
  <c r="G19" i="23"/>
  <c r="I23" i="1" l="1"/>
  <c r="H23" i="1"/>
  <c r="I47" i="1"/>
  <c r="I48" i="1"/>
  <c r="H48" i="1"/>
  <c r="H47" i="1"/>
  <c r="G48" i="1"/>
  <c r="G47" i="1"/>
  <c r="J54" i="1"/>
  <c r="J53" i="1"/>
  <c r="J42" i="1"/>
  <c r="J41" i="1"/>
  <c r="J47" i="1"/>
  <c r="J48" i="1"/>
  <c r="G23" i="1" l="1"/>
  <c r="J32" i="1"/>
  <c r="J31" i="1"/>
  <c r="J30" i="1"/>
  <c r="J29" i="1"/>
  <c r="J25" i="1"/>
  <c r="J24" i="1"/>
  <c r="J23" i="1"/>
  <c r="J18" i="1"/>
  <c r="J19" i="1"/>
  <c r="J17" i="1"/>
  <c r="F86" i="1"/>
  <c r="F84" i="1"/>
  <c r="F85" i="1"/>
  <c r="E80" i="1"/>
  <c r="E79" i="1"/>
  <c r="F75" i="1"/>
  <c r="E74" i="1"/>
  <c r="E73" i="1"/>
  <c r="F69" i="1"/>
  <c r="E68" i="1"/>
  <c r="E67" i="1"/>
  <c r="F63" i="1"/>
  <c r="J62" i="1"/>
  <c r="I62" i="1"/>
  <c r="H62" i="1"/>
  <c r="G62" i="1"/>
  <c r="F62" i="1"/>
  <c r="E62" i="1" s="1"/>
  <c r="J61" i="1"/>
  <c r="I61" i="1"/>
  <c r="H61" i="1"/>
  <c r="G61" i="1"/>
  <c r="F61" i="1"/>
  <c r="E61" i="1" s="1"/>
  <c r="G60" i="1"/>
  <c r="F60" i="1"/>
  <c r="F59" i="1"/>
  <c r="F83" i="1" s="1"/>
  <c r="F29" i="1"/>
  <c r="F23" i="1"/>
  <c r="F17" i="1"/>
  <c r="F30" i="1"/>
  <c r="F24" i="1"/>
  <c r="F18" i="1"/>
  <c r="E96" i="29"/>
  <c r="F96" i="29"/>
  <c r="G96" i="29"/>
  <c r="H96" i="29"/>
  <c r="E97" i="29"/>
  <c r="F97" i="29"/>
  <c r="G97" i="29"/>
  <c r="H97" i="29"/>
  <c r="E98" i="29"/>
  <c r="F98" i="29"/>
  <c r="G98" i="29"/>
  <c r="H98" i="29"/>
  <c r="E99" i="29"/>
  <c r="C99" i="29" s="1"/>
  <c r="F99" i="29"/>
  <c r="G99" i="29"/>
  <c r="H99" i="29"/>
  <c r="D97" i="29"/>
  <c r="D95" i="29" s="1"/>
  <c r="D100" i="29" s="1"/>
  <c r="D98" i="29"/>
  <c r="D99" i="29"/>
  <c r="D96" i="29"/>
  <c r="F84" i="29"/>
  <c r="G84" i="29"/>
  <c r="H84" i="29"/>
  <c r="F85" i="29"/>
  <c r="G85" i="29"/>
  <c r="H85" i="29"/>
  <c r="F86" i="29"/>
  <c r="G86" i="29"/>
  <c r="H86" i="29"/>
  <c r="F87" i="29"/>
  <c r="G87" i="29"/>
  <c r="H87" i="29"/>
  <c r="D85" i="29"/>
  <c r="D86" i="29"/>
  <c r="D87" i="29"/>
  <c r="C87" i="29" s="1"/>
  <c r="D84" i="29"/>
  <c r="F77" i="29"/>
  <c r="F72" i="29"/>
  <c r="G72" i="29"/>
  <c r="H72" i="29"/>
  <c r="F73" i="29"/>
  <c r="G73" i="29"/>
  <c r="H73" i="29"/>
  <c r="F74" i="29"/>
  <c r="G74" i="29"/>
  <c r="H74" i="29"/>
  <c r="F75" i="29"/>
  <c r="G75" i="29"/>
  <c r="H75" i="29"/>
  <c r="D73" i="29"/>
  <c r="D74" i="29"/>
  <c r="D75" i="29"/>
  <c r="C75" i="29" s="1"/>
  <c r="D72" i="29"/>
  <c r="F66" i="29"/>
  <c r="G66" i="29"/>
  <c r="H66" i="29"/>
  <c r="F67" i="29"/>
  <c r="G67" i="29"/>
  <c r="H67" i="29"/>
  <c r="F68" i="29"/>
  <c r="G68" i="29"/>
  <c r="H68" i="29"/>
  <c r="F69" i="29"/>
  <c r="G69" i="29"/>
  <c r="H69" i="29"/>
  <c r="D67" i="29"/>
  <c r="D68" i="29"/>
  <c r="C68" i="29" s="1"/>
  <c r="D69" i="29"/>
  <c r="D66" i="29"/>
  <c r="F60" i="29"/>
  <c r="G60" i="29"/>
  <c r="F61" i="29"/>
  <c r="G61" i="29"/>
  <c r="E62" i="29"/>
  <c r="E59" i="29" s="1"/>
  <c r="F62" i="29"/>
  <c r="G62" i="29"/>
  <c r="G59" i="29" s="1"/>
  <c r="E63" i="29"/>
  <c r="F63" i="29"/>
  <c r="G63" i="29"/>
  <c r="D61" i="29"/>
  <c r="D62" i="29"/>
  <c r="D63" i="29"/>
  <c r="D60" i="29"/>
  <c r="E54" i="29"/>
  <c r="F54" i="29"/>
  <c r="G54" i="29"/>
  <c r="H54" i="29"/>
  <c r="E55" i="29"/>
  <c r="F55" i="29"/>
  <c r="G55" i="29"/>
  <c r="H55" i="29"/>
  <c r="E56" i="29"/>
  <c r="F56" i="29"/>
  <c r="G56" i="29"/>
  <c r="H56" i="29"/>
  <c r="E57" i="29"/>
  <c r="F57" i="29"/>
  <c r="G57" i="29"/>
  <c r="H57" i="29"/>
  <c r="D55" i="29"/>
  <c r="D56" i="29"/>
  <c r="D57" i="29"/>
  <c r="D54" i="29"/>
  <c r="E48" i="29"/>
  <c r="F48" i="29"/>
  <c r="G48" i="29"/>
  <c r="H48" i="29"/>
  <c r="E49" i="29"/>
  <c r="F49" i="29"/>
  <c r="G49" i="29"/>
  <c r="H49" i="29"/>
  <c r="E50" i="29"/>
  <c r="F50" i="29"/>
  <c r="G50" i="29"/>
  <c r="H50" i="29"/>
  <c r="E51" i="29"/>
  <c r="F51" i="29"/>
  <c r="G51" i="29"/>
  <c r="H51" i="29"/>
  <c r="D49" i="29"/>
  <c r="C49" i="29" s="1"/>
  <c r="D50" i="29"/>
  <c r="D51" i="29"/>
  <c r="D48" i="29"/>
  <c r="E42" i="29"/>
  <c r="F42" i="29"/>
  <c r="G42" i="29"/>
  <c r="H42" i="29"/>
  <c r="H41" i="29" s="1"/>
  <c r="E43" i="29"/>
  <c r="C43" i="29" s="1"/>
  <c r="F43" i="29"/>
  <c r="G43" i="29"/>
  <c r="H43" i="29"/>
  <c r="E44" i="29"/>
  <c r="F44" i="29"/>
  <c r="G44" i="29"/>
  <c r="H44" i="29"/>
  <c r="E45" i="29"/>
  <c r="C45" i="29" s="1"/>
  <c r="F45" i="29"/>
  <c r="G45" i="29"/>
  <c r="H45" i="29"/>
  <c r="C46" i="29"/>
  <c r="D43" i="29"/>
  <c r="D44" i="29"/>
  <c r="D45" i="29"/>
  <c r="D42" i="29"/>
  <c r="C42" i="29" s="1"/>
  <c r="F41" i="29"/>
  <c r="F30" i="29"/>
  <c r="G30" i="29"/>
  <c r="H30" i="29"/>
  <c r="F31" i="29"/>
  <c r="G31" i="29"/>
  <c r="H31" i="29"/>
  <c r="F32" i="29"/>
  <c r="G32" i="29"/>
  <c r="H32" i="29"/>
  <c r="F33" i="29"/>
  <c r="C33" i="29" s="1"/>
  <c r="G33" i="29"/>
  <c r="H33" i="29"/>
  <c r="D31" i="29"/>
  <c r="D32" i="29"/>
  <c r="D29" i="29" s="1"/>
  <c r="D33" i="29"/>
  <c r="D30" i="29"/>
  <c r="E24" i="29"/>
  <c r="F24" i="29"/>
  <c r="G24" i="29"/>
  <c r="H24" i="29"/>
  <c r="E25" i="29"/>
  <c r="F25" i="29"/>
  <c r="C25" i="29" s="1"/>
  <c r="G25" i="29"/>
  <c r="H25" i="29"/>
  <c r="E26" i="29"/>
  <c r="F26" i="29"/>
  <c r="G26" i="29"/>
  <c r="H26" i="29"/>
  <c r="E27" i="29"/>
  <c r="F27" i="29"/>
  <c r="G27" i="29"/>
  <c r="H27" i="29"/>
  <c r="D25" i="29"/>
  <c r="D26" i="29"/>
  <c r="D27" i="29"/>
  <c r="D24" i="29"/>
  <c r="F18" i="29"/>
  <c r="G18" i="29"/>
  <c r="H18" i="29"/>
  <c r="F19" i="29"/>
  <c r="G19" i="29"/>
  <c r="H19" i="29"/>
  <c r="F20" i="29"/>
  <c r="G20" i="29"/>
  <c r="H20" i="29"/>
  <c r="F21" i="29"/>
  <c r="G21" i="29"/>
  <c r="H21" i="29"/>
  <c r="D19" i="29"/>
  <c r="D20" i="29"/>
  <c r="D21" i="29"/>
  <c r="D18" i="29"/>
  <c r="H100" i="29"/>
  <c r="G100" i="29"/>
  <c r="F100" i="29"/>
  <c r="E100" i="29"/>
  <c r="F95" i="29"/>
  <c r="G95" i="29"/>
  <c r="H95" i="29"/>
  <c r="C94" i="29"/>
  <c r="C93" i="29"/>
  <c r="C92" i="29"/>
  <c r="C91" i="29"/>
  <c r="C90" i="29"/>
  <c r="H89" i="29"/>
  <c r="G89" i="29"/>
  <c r="F89" i="29"/>
  <c r="E89" i="29"/>
  <c r="D89" i="29"/>
  <c r="C89" i="29" s="1"/>
  <c r="H88" i="29"/>
  <c r="G88" i="29"/>
  <c r="F88" i="29"/>
  <c r="D88" i="29"/>
  <c r="H83" i="29"/>
  <c r="G83" i="29"/>
  <c r="F83" i="29"/>
  <c r="H82" i="29"/>
  <c r="G82" i="29"/>
  <c r="F82" i="29"/>
  <c r="E82" i="29"/>
  <c r="D82" i="29"/>
  <c r="H77" i="29"/>
  <c r="G77" i="29"/>
  <c r="G71" i="29"/>
  <c r="H71" i="29"/>
  <c r="F71" i="29"/>
  <c r="H65" i="29"/>
  <c r="G65" i="29"/>
  <c r="C64" i="29"/>
  <c r="H63" i="29"/>
  <c r="C63" i="29" s="1"/>
  <c r="H62" i="29"/>
  <c r="H61" i="29"/>
  <c r="H60" i="29"/>
  <c r="C58" i="29"/>
  <c r="H53" i="29"/>
  <c r="G53" i="29"/>
  <c r="F53" i="29"/>
  <c r="C52" i="29"/>
  <c r="H47" i="29"/>
  <c r="G47" i="29"/>
  <c r="F47" i="29"/>
  <c r="C40" i="29"/>
  <c r="C39" i="29"/>
  <c r="C38" i="29"/>
  <c r="C37" i="29"/>
  <c r="C36" i="29"/>
  <c r="H35" i="29"/>
  <c r="G35" i="29"/>
  <c r="F35" i="29"/>
  <c r="E35" i="29"/>
  <c r="D35" i="29"/>
  <c r="C35" i="29"/>
  <c r="C34" i="29"/>
  <c r="H29" i="29"/>
  <c r="E29" i="29"/>
  <c r="C28" i="29"/>
  <c r="H23" i="29"/>
  <c r="E23" i="29"/>
  <c r="C22" i="29"/>
  <c r="C21" i="29"/>
  <c r="G17" i="29"/>
  <c r="E17" i="29"/>
  <c r="J25" i="23"/>
  <c r="J24" i="23"/>
  <c r="J18" i="23"/>
  <c r="I18" i="23"/>
  <c r="H18" i="23"/>
  <c r="I13" i="23"/>
  <c r="I12" i="23"/>
  <c r="H13" i="23"/>
  <c r="H12" i="23"/>
  <c r="F19" i="23"/>
  <c r="F92" i="23"/>
  <c r="F86" i="23"/>
  <c r="F56" i="23"/>
  <c r="F50" i="23" s="1"/>
  <c r="F47" i="23" s="1"/>
  <c r="F31" i="23"/>
  <c r="F30" i="23"/>
  <c r="F18" i="23"/>
  <c r="F13" i="23"/>
  <c r="F12" i="23"/>
  <c r="E15" i="28"/>
  <c r="F15" i="28"/>
  <c r="G15" i="28"/>
  <c r="H15" i="28"/>
  <c r="D14" i="28"/>
  <c r="E107" i="23"/>
  <c r="E106" i="23"/>
  <c r="E105" i="23"/>
  <c r="E102" i="23" s="1"/>
  <c r="E104" i="23"/>
  <c r="J102" i="23"/>
  <c r="I102" i="23"/>
  <c r="H102" i="23"/>
  <c r="G102" i="23"/>
  <c r="F102" i="23"/>
  <c r="E101" i="23"/>
  <c r="E100" i="23"/>
  <c r="E99" i="23"/>
  <c r="E98" i="23"/>
  <c r="J96" i="23"/>
  <c r="I96" i="23"/>
  <c r="H96" i="23"/>
  <c r="G96" i="23"/>
  <c r="F96" i="23"/>
  <c r="E95" i="23"/>
  <c r="E94" i="23"/>
  <c r="E93" i="23"/>
  <c r="E92" i="23"/>
  <c r="J90" i="23"/>
  <c r="I90" i="23"/>
  <c r="H90" i="23"/>
  <c r="G90" i="23"/>
  <c r="F90" i="23"/>
  <c r="E89" i="23"/>
  <c r="E88" i="23"/>
  <c r="E87" i="23"/>
  <c r="E86" i="23"/>
  <c r="J84" i="23"/>
  <c r="I84" i="23"/>
  <c r="H84" i="23"/>
  <c r="G84" i="23"/>
  <c r="F84" i="23"/>
  <c r="J83" i="23"/>
  <c r="J113" i="23" s="1"/>
  <c r="I83" i="23"/>
  <c r="I113" i="23" s="1"/>
  <c r="H83" i="23"/>
  <c r="H113" i="23" s="1"/>
  <c r="G83" i="23"/>
  <c r="G113" i="23" s="1"/>
  <c r="F83" i="23"/>
  <c r="F113" i="23" s="1"/>
  <c r="J82" i="23"/>
  <c r="J112" i="23" s="1"/>
  <c r="I82" i="23"/>
  <c r="I112" i="23" s="1"/>
  <c r="H82" i="23"/>
  <c r="H112" i="23" s="1"/>
  <c r="G82" i="23"/>
  <c r="G112" i="23" s="1"/>
  <c r="F82" i="23"/>
  <c r="F112" i="23" s="1"/>
  <c r="J81" i="23"/>
  <c r="J111" i="23" s="1"/>
  <c r="I81" i="23"/>
  <c r="I111" i="23" s="1"/>
  <c r="H81" i="23"/>
  <c r="H111" i="23" s="1"/>
  <c r="G81" i="23"/>
  <c r="G111" i="23" s="1"/>
  <c r="F81" i="23"/>
  <c r="F111" i="23" s="1"/>
  <c r="J80" i="23"/>
  <c r="J110" i="23" s="1"/>
  <c r="I80" i="23"/>
  <c r="I110" i="23" s="1"/>
  <c r="H80" i="23"/>
  <c r="H110" i="23" s="1"/>
  <c r="G80" i="23"/>
  <c r="G110" i="23" s="1"/>
  <c r="F80" i="23"/>
  <c r="F110" i="23" s="1"/>
  <c r="E70" i="23"/>
  <c r="E69" i="23"/>
  <c r="E68" i="23"/>
  <c r="E65" i="23" s="1"/>
  <c r="E67" i="23"/>
  <c r="J65" i="23"/>
  <c r="I65" i="23"/>
  <c r="H65" i="23"/>
  <c r="G65" i="23"/>
  <c r="F65" i="23"/>
  <c r="E64" i="23"/>
  <c r="E63" i="23"/>
  <c r="E62" i="23"/>
  <c r="E59" i="23" s="1"/>
  <c r="E61" i="23"/>
  <c r="J59" i="23"/>
  <c r="I59" i="23"/>
  <c r="H59" i="23"/>
  <c r="G59" i="23"/>
  <c r="F59" i="23"/>
  <c r="E58" i="23"/>
  <c r="E57" i="23"/>
  <c r="E56" i="23"/>
  <c r="J55" i="23"/>
  <c r="I55" i="23"/>
  <c r="H55" i="23"/>
  <c r="G55" i="23"/>
  <c r="F55" i="23"/>
  <c r="E55" i="23" s="1"/>
  <c r="J53" i="23"/>
  <c r="I53" i="23"/>
  <c r="H53" i="23"/>
  <c r="G53" i="23"/>
  <c r="F53" i="23"/>
  <c r="J52" i="23"/>
  <c r="J76" i="23" s="1"/>
  <c r="I52" i="23"/>
  <c r="I76" i="23" s="1"/>
  <c r="H52" i="23"/>
  <c r="H76" i="23" s="1"/>
  <c r="G52" i="23"/>
  <c r="G76" i="23" s="1"/>
  <c r="F52" i="23"/>
  <c r="J51" i="23"/>
  <c r="J75" i="23" s="1"/>
  <c r="I51" i="23"/>
  <c r="I75" i="23" s="1"/>
  <c r="H51" i="23"/>
  <c r="H75" i="23" s="1"/>
  <c r="G51" i="23"/>
  <c r="G75" i="23" s="1"/>
  <c r="F51" i="23"/>
  <c r="J50" i="23"/>
  <c r="J74" i="23" s="1"/>
  <c r="I50" i="23"/>
  <c r="I74" i="23" s="1"/>
  <c r="H50" i="23"/>
  <c r="H74" i="23" s="1"/>
  <c r="G50" i="23"/>
  <c r="G74" i="23" s="1"/>
  <c r="J49" i="23"/>
  <c r="J73" i="23" s="1"/>
  <c r="I49" i="23"/>
  <c r="I73" i="23" s="1"/>
  <c r="I71" i="23" s="1"/>
  <c r="H49" i="23"/>
  <c r="H73" i="23" s="1"/>
  <c r="G49" i="23"/>
  <c r="G73" i="23" s="1"/>
  <c r="G71" i="23" s="1"/>
  <c r="F49" i="23"/>
  <c r="J47" i="23"/>
  <c r="H47" i="23"/>
  <c r="H45" i="23"/>
  <c r="J44" i="23"/>
  <c r="I44" i="23"/>
  <c r="H44" i="23"/>
  <c r="G44" i="23"/>
  <c r="F44" i="23"/>
  <c r="I42" i="23"/>
  <c r="H42" i="23"/>
  <c r="G42" i="23"/>
  <c r="E39" i="23"/>
  <c r="E38" i="23"/>
  <c r="E37" i="23"/>
  <c r="E36" i="23"/>
  <c r="J34" i="23"/>
  <c r="I34" i="23"/>
  <c r="H34" i="23"/>
  <c r="G34" i="23"/>
  <c r="F34" i="23"/>
  <c r="J33" i="23"/>
  <c r="J45" i="23" s="1"/>
  <c r="I33" i="23"/>
  <c r="I45" i="23" s="1"/>
  <c r="H33" i="23"/>
  <c r="H28" i="23" s="1"/>
  <c r="G33" i="23"/>
  <c r="G45" i="23" s="1"/>
  <c r="F33" i="23"/>
  <c r="E33" i="23" s="1"/>
  <c r="E32" i="23"/>
  <c r="I28" i="23"/>
  <c r="H43" i="23"/>
  <c r="E30" i="23"/>
  <c r="G28" i="23"/>
  <c r="E27" i="23"/>
  <c r="E26" i="23"/>
  <c r="E25" i="23"/>
  <c r="E24" i="23"/>
  <c r="J22" i="23"/>
  <c r="I22" i="23"/>
  <c r="H22" i="23"/>
  <c r="G22" i="23"/>
  <c r="F22" i="23"/>
  <c r="E21" i="23"/>
  <c r="E20" i="23"/>
  <c r="J19" i="23"/>
  <c r="G43" i="23"/>
  <c r="E19" i="23"/>
  <c r="E18" i="23"/>
  <c r="H16" i="23"/>
  <c r="G16" i="23"/>
  <c r="E15" i="23"/>
  <c r="E14" i="23"/>
  <c r="J13" i="23"/>
  <c r="J12" i="23"/>
  <c r="F42" i="23"/>
  <c r="H10" i="23"/>
  <c r="G10" i="23"/>
  <c r="F10" i="23"/>
  <c r="C85" i="29" l="1"/>
  <c r="C51" i="29"/>
  <c r="C50" i="29"/>
  <c r="C48" i="29"/>
  <c r="D53" i="29"/>
  <c r="C57" i="29"/>
  <c r="C56" i="29"/>
  <c r="C54" i="29"/>
  <c r="D59" i="29"/>
  <c r="F59" i="29"/>
  <c r="D71" i="29"/>
  <c r="C80" i="29"/>
  <c r="C81" i="29"/>
  <c r="J78" i="23"/>
  <c r="H78" i="23"/>
  <c r="D77" i="29"/>
  <c r="F17" i="29"/>
  <c r="F23" i="29"/>
  <c r="F29" i="29"/>
  <c r="C86" i="29"/>
  <c r="H17" i="29"/>
  <c r="E53" i="29"/>
  <c r="C73" i="29"/>
  <c r="C79" i="29"/>
  <c r="E41" i="29"/>
  <c r="E65" i="29"/>
  <c r="E71" i="29"/>
  <c r="C71" i="29" s="1"/>
  <c r="C78" i="29"/>
  <c r="E95" i="29"/>
  <c r="C95" i="29" s="1"/>
  <c r="G41" i="29"/>
  <c r="D17" i="29"/>
  <c r="C20" i="29"/>
  <c r="C19" i="29"/>
  <c r="C27" i="29"/>
  <c r="C26" i="29"/>
  <c r="C24" i="29"/>
  <c r="C32" i="29"/>
  <c r="C31" i="29"/>
  <c r="G29" i="29"/>
  <c r="C29" i="29" s="1"/>
  <c r="G23" i="29"/>
  <c r="C30" i="29"/>
  <c r="D47" i="29"/>
  <c r="C55" i="29"/>
  <c r="C66" i="29"/>
  <c r="D70" i="29"/>
  <c r="D23" i="29"/>
  <c r="E47" i="29"/>
  <c r="C47" i="29" s="1"/>
  <c r="C61" i="29"/>
  <c r="C62" i="29"/>
  <c r="E77" i="29"/>
  <c r="C18" i="29"/>
  <c r="C84" i="29"/>
  <c r="E83" i="29"/>
  <c r="H59" i="29"/>
  <c r="C59" i="29" s="1"/>
  <c r="C88" i="29"/>
  <c r="C82" i="29"/>
  <c r="C100" i="29"/>
  <c r="F57" i="1"/>
  <c r="G63" i="1"/>
  <c r="E78" i="1"/>
  <c r="D83" i="29"/>
  <c r="D41" i="29"/>
  <c r="C44" i="29"/>
  <c r="C53" i="29"/>
  <c r="C60" i="29"/>
  <c r="D65" i="29"/>
  <c r="F65" i="29"/>
  <c r="C67" i="29"/>
  <c r="C69" i="29"/>
  <c r="C72" i="29"/>
  <c r="C74" i="29"/>
  <c r="C97" i="29"/>
  <c r="C96" i="29"/>
  <c r="C98" i="29"/>
  <c r="C17" i="29"/>
  <c r="C23" i="29"/>
  <c r="C70" i="29"/>
  <c r="D76" i="29"/>
  <c r="C76" i="29" s="1"/>
  <c r="I78" i="23"/>
  <c r="I47" i="23"/>
  <c r="E22" i="23"/>
  <c r="I16" i="23"/>
  <c r="H40" i="23"/>
  <c r="E96" i="23"/>
  <c r="G78" i="23"/>
  <c r="G47" i="23"/>
  <c r="E34" i="23"/>
  <c r="E44" i="23"/>
  <c r="E16" i="23"/>
  <c r="E90" i="23"/>
  <c r="F78" i="23"/>
  <c r="E84" i="23"/>
  <c r="E53" i="23"/>
  <c r="E13" i="23"/>
  <c r="J10" i="23"/>
  <c r="I10" i="23"/>
  <c r="E12" i="23"/>
  <c r="F16" i="23"/>
  <c r="J16" i="23"/>
  <c r="G40" i="23"/>
  <c r="F28" i="23"/>
  <c r="I43" i="23"/>
  <c r="I40" i="23" s="1"/>
  <c r="J31" i="23"/>
  <c r="J43" i="23" s="1"/>
  <c r="J117" i="23" s="1"/>
  <c r="H13" i="28" s="1"/>
  <c r="F43" i="23"/>
  <c r="F45" i="23"/>
  <c r="E45" i="23" s="1"/>
  <c r="F73" i="23"/>
  <c r="E49" i="23"/>
  <c r="H71" i="23"/>
  <c r="J71" i="23"/>
  <c r="F75" i="23"/>
  <c r="E75" i="23" s="1"/>
  <c r="E51" i="23"/>
  <c r="F116" i="23"/>
  <c r="D12" i="28" s="1"/>
  <c r="F108" i="23"/>
  <c r="E110" i="23"/>
  <c r="H116" i="23"/>
  <c r="F12" i="28" s="1"/>
  <c r="H108" i="23"/>
  <c r="J108" i="23"/>
  <c r="G117" i="23"/>
  <c r="E13" i="28" s="1"/>
  <c r="E112" i="23"/>
  <c r="H118" i="23"/>
  <c r="F14" i="28" s="1"/>
  <c r="J118" i="23"/>
  <c r="H14" i="28" s="1"/>
  <c r="G119" i="23"/>
  <c r="I119" i="23"/>
  <c r="J42" i="23"/>
  <c r="F74" i="23"/>
  <c r="E74" i="23" s="1"/>
  <c r="E50" i="23"/>
  <c r="F76" i="23"/>
  <c r="E76" i="23" s="1"/>
  <c r="E52" i="23"/>
  <c r="G116" i="23"/>
  <c r="E12" i="28" s="1"/>
  <c r="G108" i="23"/>
  <c r="I116" i="23"/>
  <c r="G12" i="28" s="1"/>
  <c r="I108" i="23"/>
  <c r="E111" i="23"/>
  <c r="H117" i="23"/>
  <c r="F13" i="28" s="1"/>
  <c r="G118" i="23"/>
  <c r="E14" i="28" s="1"/>
  <c r="I118" i="23"/>
  <c r="G14" i="28" s="1"/>
  <c r="E113" i="23"/>
  <c r="H119" i="23"/>
  <c r="J119" i="23"/>
  <c r="E80" i="23"/>
  <c r="E81" i="23"/>
  <c r="E82" i="23"/>
  <c r="E83" i="23"/>
  <c r="C77" i="29" l="1"/>
  <c r="C41" i="29"/>
  <c r="C83" i="29"/>
  <c r="F119" i="23"/>
  <c r="D15" i="28" s="1"/>
  <c r="G75" i="1"/>
  <c r="H63" i="1"/>
  <c r="E66" i="1"/>
  <c r="H60" i="1"/>
  <c r="C65" i="29"/>
  <c r="H10" i="29"/>
  <c r="J28" i="23"/>
  <c r="I117" i="23"/>
  <c r="G13" i="28" s="1"/>
  <c r="J40" i="23"/>
  <c r="E43" i="23"/>
  <c r="E31" i="23"/>
  <c r="E28" i="23" s="1"/>
  <c r="F117" i="23"/>
  <c r="D13" i="28" s="1"/>
  <c r="E10" i="23"/>
  <c r="E78" i="23"/>
  <c r="I114" i="23"/>
  <c r="G114" i="23"/>
  <c r="F118" i="23"/>
  <c r="E118" i="23" s="1"/>
  <c r="J116" i="23"/>
  <c r="H114" i="23"/>
  <c r="E47" i="23"/>
  <c r="F40" i="23"/>
  <c r="E108" i="23"/>
  <c r="F71" i="23"/>
  <c r="E73" i="23"/>
  <c r="E71" i="23" s="1"/>
  <c r="E42" i="23"/>
  <c r="C13" i="29" l="1"/>
  <c r="C15" i="29"/>
  <c r="E40" i="23"/>
  <c r="E119" i="23"/>
  <c r="E72" i="1"/>
  <c r="G69" i="1"/>
  <c r="G59" i="1"/>
  <c r="J60" i="1"/>
  <c r="I60" i="1"/>
  <c r="E60" i="1" s="1"/>
  <c r="E65" i="1"/>
  <c r="E63" i="1" s="1"/>
  <c r="I63" i="1"/>
  <c r="H75" i="1"/>
  <c r="F10" i="29"/>
  <c r="C14" i="29"/>
  <c r="C12" i="29"/>
  <c r="D10" i="29"/>
  <c r="E10" i="29"/>
  <c r="E16" i="29" s="1"/>
  <c r="J114" i="23"/>
  <c r="H12" i="28"/>
  <c r="E116" i="23"/>
  <c r="F114" i="23"/>
  <c r="E117" i="23"/>
  <c r="E114" i="23" l="1"/>
  <c r="J75" i="1"/>
  <c r="I75" i="1"/>
  <c r="H69" i="1"/>
  <c r="H59" i="1"/>
  <c r="H57" i="1" s="1"/>
  <c r="G57" i="1"/>
  <c r="E77" i="1"/>
  <c r="E75" i="1" s="1"/>
  <c r="J63" i="1"/>
  <c r="G10" i="29"/>
  <c r="C10" i="29" s="1"/>
  <c r="C16" i="29"/>
  <c r="I69" i="1" l="1"/>
  <c r="I59" i="1"/>
  <c r="I57" i="1" l="1"/>
  <c r="J69" i="1"/>
  <c r="J59" i="1"/>
  <c r="J57" i="1" s="1"/>
  <c r="E71" i="1"/>
  <c r="E69" i="1" s="1"/>
  <c r="E59" i="1" l="1"/>
  <c r="E57" i="1" s="1"/>
  <c r="J17" i="24" l="1"/>
  <c r="F48" i="1" l="1"/>
  <c r="H46" i="33" l="1"/>
  <c r="E46" i="33"/>
  <c r="F46" i="33"/>
  <c r="E47" i="33"/>
  <c r="F47" i="33"/>
  <c r="G47" i="33"/>
  <c r="H47" i="33"/>
  <c r="E48" i="33"/>
  <c r="F48" i="33"/>
  <c r="G48" i="33"/>
  <c r="H48" i="33"/>
  <c r="E49" i="33"/>
  <c r="F49" i="33"/>
  <c r="G49" i="33"/>
  <c r="H49" i="33"/>
  <c r="G15" i="24"/>
  <c r="H15" i="24"/>
  <c r="G23" i="24"/>
  <c r="H23" i="24"/>
  <c r="G24" i="24"/>
  <c r="H24" i="24"/>
  <c r="G25" i="24"/>
  <c r="H25" i="24"/>
  <c r="G26" i="24"/>
  <c r="H26" i="24"/>
  <c r="E33" i="32"/>
  <c r="F33" i="32"/>
  <c r="G33" i="32"/>
  <c r="H33" i="32"/>
  <c r="D33" i="32"/>
  <c r="E31" i="32"/>
  <c r="F31" i="32"/>
  <c r="G31" i="32"/>
  <c r="H31" i="32"/>
  <c r="D31" i="32"/>
  <c r="E30" i="32"/>
  <c r="F30" i="32"/>
  <c r="G30" i="32"/>
  <c r="H30" i="32"/>
  <c r="D30" i="32"/>
  <c r="E28" i="32"/>
  <c r="F28" i="32"/>
  <c r="G28" i="32"/>
  <c r="H28" i="32"/>
  <c r="D28" i="32"/>
  <c r="E24" i="32"/>
  <c r="F24" i="32"/>
  <c r="G24" i="32"/>
  <c r="H24" i="32"/>
  <c r="D24" i="32"/>
  <c r="E21" i="32"/>
  <c r="F21" i="32"/>
  <c r="G21" i="32"/>
  <c r="H21" i="32"/>
  <c r="D21" i="32"/>
  <c r="E19" i="32"/>
  <c r="F19" i="32"/>
  <c r="G19" i="32"/>
  <c r="H19" i="32"/>
  <c r="D19" i="32"/>
  <c r="E18" i="32"/>
  <c r="F18" i="32"/>
  <c r="G18" i="32"/>
  <c r="H18" i="32"/>
  <c r="D18" i="32"/>
  <c r="E25" i="32"/>
  <c r="F25" i="32"/>
  <c r="G25" i="32"/>
  <c r="H25" i="32"/>
  <c r="D25" i="32"/>
  <c r="F29" i="32" l="1"/>
  <c r="F23" i="32"/>
  <c r="F17" i="32"/>
  <c r="F45" i="33"/>
  <c r="E45" i="33"/>
  <c r="H45" i="33"/>
  <c r="G46" i="33"/>
  <c r="G45" i="33" s="1"/>
  <c r="G21" i="24"/>
  <c r="H21" i="24"/>
  <c r="E29" i="32"/>
  <c r="E23" i="32"/>
  <c r="E17" i="32"/>
  <c r="F36" i="1" l="1"/>
  <c r="E20" i="1" l="1"/>
  <c r="E19" i="1"/>
  <c r="E18" i="1"/>
  <c r="E17" i="1"/>
  <c r="E26" i="1"/>
  <c r="E25" i="1"/>
  <c r="E24" i="1"/>
  <c r="E23" i="1"/>
  <c r="E32" i="1"/>
  <c r="E31" i="1"/>
  <c r="E30" i="1"/>
  <c r="E29" i="1"/>
  <c r="E44" i="1"/>
  <c r="E43" i="1"/>
  <c r="E42" i="1"/>
  <c r="E41" i="1"/>
  <c r="E50" i="1"/>
  <c r="E49" i="1"/>
  <c r="E48" i="1"/>
  <c r="E47" i="1"/>
  <c r="E56" i="1"/>
  <c r="E55" i="1"/>
  <c r="E54" i="1"/>
  <c r="E53" i="1"/>
  <c r="G51" i="1"/>
  <c r="H51" i="1"/>
  <c r="G45" i="1"/>
  <c r="H45" i="1"/>
  <c r="G35" i="1"/>
  <c r="H35" i="1"/>
  <c r="G36" i="1"/>
  <c r="G33" i="1" s="1"/>
  <c r="H36" i="1"/>
  <c r="G37" i="1"/>
  <c r="H37" i="1"/>
  <c r="G38" i="1"/>
  <c r="H38" i="1"/>
  <c r="G39" i="1"/>
  <c r="H39" i="1"/>
  <c r="G27" i="1"/>
  <c r="H27" i="1"/>
  <c r="G21" i="1"/>
  <c r="H21" i="1"/>
  <c r="G11" i="1"/>
  <c r="H11" i="1"/>
  <c r="I11" i="1"/>
  <c r="G12" i="1"/>
  <c r="H12" i="1"/>
  <c r="H84" i="1" s="1"/>
  <c r="I12" i="1"/>
  <c r="G13" i="1"/>
  <c r="H13" i="1"/>
  <c r="I13" i="1"/>
  <c r="I85" i="1" s="1"/>
  <c r="G14" i="1"/>
  <c r="H14" i="1"/>
  <c r="H86" i="1" s="1"/>
  <c r="I14" i="1"/>
  <c r="I86" i="1" s="1"/>
  <c r="G15" i="1"/>
  <c r="H15" i="1"/>
  <c r="I15" i="1"/>
  <c r="H33" i="1" l="1"/>
  <c r="G84" i="1"/>
  <c r="E13" i="32" s="1"/>
  <c r="E42" i="33" s="1"/>
  <c r="G83" i="1"/>
  <c r="H83" i="1"/>
  <c r="F12" i="32" s="1"/>
  <c r="F41" i="33" s="1"/>
  <c r="H85" i="1"/>
  <c r="F14" i="32" s="1"/>
  <c r="F43" i="33" s="1"/>
  <c r="G86" i="1"/>
  <c r="E15" i="32" s="1"/>
  <c r="E44" i="33" s="1"/>
  <c r="G85" i="1"/>
  <c r="E14" i="32" s="1"/>
  <c r="E43" i="33" s="1"/>
  <c r="G9" i="1"/>
  <c r="F13" i="32"/>
  <c r="F42" i="33" s="1"/>
  <c r="H9" i="1"/>
  <c r="I9" i="1"/>
  <c r="G81" i="1" l="1"/>
  <c r="E12" i="32"/>
  <c r="H81" i="1"/>
  <c r="F15" i="32"/>
  <c r="F44" i="33" s="1"/>
  <c r="F40" i="33" s="1"/>
  <c r="F30" i="33" l="1"/>
  <c r="F10" i="32"/>
  <c r="F16" i="32" s="1"/>
  <c r="E30" i="33"/>
  <c r="E10" i="32"/>
  <c r="E16" i="32" s="1"/>
  <c r="E41" i="33"/>
  <c r="E40" i="33" s="1"/>
  <c r="F19" i="33" l="1"/>
  <c r="F17" i="33"/>
  <c r="F16" i="33"/>
  <c r="F11" i="33" s="1"/>
  <c r="E19" i="33"/>
  <c r="E17" i="33"/>
  <c r="E16" i="33"/>
  <c r="E11" i="33" s="1"/>
  <c r="F20" i="33"/>
  <c r="E20" i="33"/>
  <c r="F18" i="33" l="1"/>
  <c r="F10" i="28" l="1"/>
  <c r="F16" i="28" s="1"/>
  <c r="F15" i="33"/>
  <c r="D47" i="33" l="1"/>
  <c r="D48" i="33"/>
  <c r="D49" i="33"/>
  <c r="D46" i="33"/>
  <c r="C34" i="32"/>
  <c r="C33" i="32"/>
  <c r="C32" i="32"/>
  <c r="C31" i="32"/>
  <c r="C30" i="32"/>
  <c r="H29" i="32"/>
  <c r="G29" i="32"/>
  <c r="D29" i="32"/>
  <c r="C28" i="32"/>
  <c r="C27" i="32"/>
  <c r="C26" i="32"/>
  <c r="C25" i="32"/>
  <c r="C24" i="32"/>
  <c r="H23" i="32"/>
  <c r="G23" i="32"/>
  <c r="D23" i="32"/>
  <c r="C22" i="32"/>
  <c r="C21" i="32"/>
  <c r="C20" i="32"/>
  <c r="C19" i="32"/>
  <c r="C18" i="32"/>
  <c r="H17" i="32"/>
  <c r="G17" i="32"/>
  <c r="D17" i="32"/>
  <c r="C49" i="33" l="1"/>
  <c r="C23" i="32"/>
  <c r="C29" i="32"/>
  <c r="C48" i="33"/>
  <c r="D45" i="33"/>
  <c r="C46" i="33"/>
  <c r="C47" i="33"/>
  <c r="C17" i="32"/>
  <c r="C45" i="33" l="1"/>
  <c r="J26" i="24" l="1"/>
  <c r="I26" i="24"/>
  <c r="F26" i="24"/>
  <c r="J25" i="24"/>
  <c r="I25" i="24"/>
  <c r="F25" i="24"/>
  <c r="J24" i="24"/>
  <c r="I24" i="24"/>
  <c r="F24" i="24"/>
  <c r="J23" i="24"/>
  <c r="I23" i="24"/>
  <c r="F23" i="24"/>
  <c r="J21" i="24" l="1"/>
  <c r="E26" i="24"/>
  <c r="E25" i="24"/>
  <c r="E24" i="24"/>
  <c r="F21" i="24"/>
  <c r="E23" i="24"/>
  <c r="I21" i="24"/>
  <c r="I36" i="1"/>
  <c r="I84" i="1" s="1"/>
  <c r="J36" i="1"/>
  <c r="E36" i="1" l="1"/>
  <c r="E21" i="24"/>
  <c r="I15" i="24" l="1"/>
  <c r="J15" i="24"/>
  <c r="F15" i="24"/>
  <c r="E17" i="24"/>
  <c r="E18" i="24"/>
  <c r="E19" i="24"/>
  <c r="E20" i="24"/>
  <c r="E15" i="24" l="1"/>
  <c r="J51" i="1" l="1"/>
  <c r="I51" i="1"/>
  <c r="F51" i="1"/>
  <c r="J45" i="1"/>
  <c r="I45" i="1"/>
  <c r="F45" i="1"/>
  <c r="J39" i="1"/>
  <c r="I39" i="1"/>
  <c r="F39" i="1"/>
  <c r="J38" i="1"/>
  <c r="I38" i="1"/>
  <c r="F38" i="1"/>
  <c r="E38" i="1" s="1"/>
  <c r="J37" i="1"/>
  <c r="I37" i="1"/>
  <c r="F37" i="1"/>
  <c r="E37" i="1" s="1"/>
  <c r="J35" i="1"/>
  <c r="I35" i="1"/>
  <c r="I83" i="1" s="1"/>
  <c r="F35" i="1"/>
  <c r="E35" i="1" l="1"/>
  <c r="E51" i="1"/>
  <c r="E45" i="1"/>
  <c r="I33" i="1"/>
  <c r="J33" i="1"/>
  <c r="E39" i="1"/>
  <c r="F33" i="1"/>
  <c r="J93" i="1"/>
  <c r="I93" i="1"/>
  <c r="F93" i="1"/>
  <c r="J92" i="1"/>
  <c r="I92" i="1"/>
  <c r="F92" i="1"/>
  <c r="J91" i="1"/>
  <c r="I91" i="1"/>
  <c r="F91" i="1"/>
  <c r="J90" i="1"/>
  <c r="I90" i="1"/>
  <c r="F90" i="1"/>
  <c r="G12" i="32"/>
  <c r="G41" i="33" s="1"/>
  <c r="J11" i="1"/>
  <c r="G13" i="32"/>
  <c r="G42" i="33" s="1"/>
  <c r="J12" i="1"/>
  <c r="G14" i="32"/>
  <c r="G43" i="33" s="1"/>
  <c r="J13" i="1"/>
  <c r="G15" i="32"/>
  <c r="G44" i="33" s="1"/>
  <c r="J14" i="1"/>
  <c r="J86" i="1" s="1"/>
  <c r="F12" i="1"/>
  <c r="F13" i="1"/>
  <c r="F14" i="1"/>
  <c r="F11" i="1"/>
  <c r="E111" i="1"/>
  <c r="E110" i="1"/>
  <c r="E109" i="1"/>
  <c r="E108" i="1"/>
  <c r="J106" i="1"/>
  <c r="I106" i="1"/>
  <c r="F106" i="1"/>
  <c r="E105" i="1"/>
  <c r="E104" i="1"/>
  <c r="E103" i="1"/>
  <c r="E102" i="1"/>
  <c r="J100" i="1"/>
  <c r="I100" i="1"/>
  <c r="F100" i="1"/>
  <c r="E99" i="1"/>
  <c r="E98" i="1"/>
  <c r="E97" i="1"/>
  <c r="E96" i="1"/>
  <c r="J94" i="1"/>
  <c r="I94" i="1"/>
  <c r="F94" i="1"/>
  <c r="J27" i="1"/>
  <c r="I27" i="1"/>
  <c r="F27" i="1"/>
  <c r="J21" i="1"/>
  <c r="I21" i="1"/>
  <c r="F21" i="1"/>
  <c r="J15" i="1"/>
  <c r="F15" i="1"/>
  <c r="J85" i="1" l="1"/>
  <c r="H14" i="32" s="1"/>
  <c r="H43" i="33" s="1"/>
  <c r="J84" i="1"/>
  <c r="H13" i="32" s="1"/>
  <c r="H42" i="33" s="1"/>
  <c r="J83" i="1"/>
  <c r="H12" i="32" s="1"/>
  <c r="H41" i="33" s="1"/>
  <c r="H17" i="33"/>
  <c r="G20" i="33"/>
  <c r="E13" i="1"/>
  <c r="G40" i="33"/>
  <c r="H20" i="33"/>
  <c r="D13" i="32"/>
  <c r="E12" i="1"/>
  <c r="E84" i="1"/>
  <c r="E11" i="1"/>
  <c r="H15" i="32"/>
  <c r="H44" i="33" s="1"/>
  <c r="J9" i="1"/>
  <c r="E14" i="1"/>
  <c r="C22" i="33"/>
  <c r="H19" i="33"/>
  <c r="G10" i="32"/>
  <c r="G16" i="32" s="1"/>
  <c r="H18" i="33"/>
  <c r="G19" i="33"/>
  <c r="G18" i="33"/>
  <c r="G16" i="33"/>
  <c r="G11" i="33" s="1"/>
  <c r="E94" i="1"/>
  <c r="E106" i="1"/>
  <c r="E33" i="1"/>
  <c r="E15" i="1"/>
  <c r="E27" i="1"/>
  <c r="E100" i="1"/>
  <c r="E21" i="1"/>
  <c r="H40" i="33" l="1"/>
  <c r="G17" i="33"/>
  <c r="G15" i="33" s="1"/>
  <c r="D42" i="33"/>
  <c r="C42" i="33" s="1"/>
  <c r="C13" i="32"/>
  <c r="D14" i="32"/>
  <c r="E85" i="1"/>
  <c r="H10" i="32"/>
  <c r="H16" i="32" s="1"/>
  <c r="D12" i="32"/>
  <c r="E83" i="1"/>
  <c r="D15" i="32"/>
  <c r="E86" i="1"/>
  <c r="C23" i="33"/>
  <c r="C24" i="33"/>
  <c r="C21" i="33"/>
  <c r="G10" i="28" l="1"/>
  <c r="G16" i="28" s="1"/>
  <c r="E10" i="28"/>
  <c r="E16" i="28" s="1"/>
  <c r="E18" i="33"/>
  <c r="D43" i="33"/>
  <c r="C43" i="33" s="1"/>
  <c r="C14" i="32"/>
  <c r="C12" i="32"/>
  <c r="D41" i="33"/>
  <c r="C41" i="33" s="1"/>
  <c r="C15" i="32"/>
  <c r="D10" i="32"/>
  <c r="D44" i="33"/>
  <c r="D20" i="33"/>
  <c r="C20" i="33" s="1"/>
  <c r="C14" i="28"/>
  <c r="D18" i="33"/>
  <c r="C34" i="33"/>
  <c r="C26" i="33" l="1"/>
  <c r="H16" i="33"/>
  <c r="H10" i="28"/>
  <c r="H16" i="28" s="1"/>
  <c r="C15" i="28"/>
  <c r="D19" i="33"/>
  <c r="C19" i="33" s="1"/>
  <c r="C13" i="28"/>
  <c r="D17" i="33"/>
  <c r="C17" i="33" s="1"/>
  <c r="C18" i="33"/>
  <c r="E15" i="33"/>
  <c r="H30" i="33"/>
  <c r="C10" i="32"/>
  <c r="D16" i="32"/>
  <c r="C16" i="32" s="1"/>
  <c r="C44" i="33"/>
  <c r="D40" i="33"/>
  <c r="C40" i="33" s="1"/>
  <c r="C33" i="33"/>
  <c r="C32" i="33"/>
  <c r="D30" i="33"/>
  <c r="F117" i="1"/>
  <c r="F116" i="1"/>
  <c r="F115" i="1"/>
  <c r="J117" i="1"/>
  <c r="I117" i="1"/>
  <c r="J116" i="1"/>
  <c r="I116" i="1"/>
  <c r="J115" i="1"/>
  <c r="I115" i="1"/>
  <c r="J114" i="1"/>
  <c r="I114" i="1"/>
  <c r="F114" i="1"/>
  <c r="J81" i="1"/>
  <c r="E93" i="1"/>
  <c r="E92" i="1"/>
  <c r="E91" i="1"/>
  <c r="E90" i="1"/>
  <c r="J88" i="1"/>
  <c r="I88" i="1"/>
  <c r="F88" i="1"/>
  <c r="I81" i="1"/>
  <c r="F9" i="1"/>
  <c r="H15" i="33" l="1"/>
  <c r="H11" i="33"/>
  <c r="C31" i="33"/>
  <c r="I112" i="1"/>
  <c r="G30" i="33"/>
  <c r="E114" i="1"/>
  <c r="J112" i="1"/>
  <c r="C30" i="33"/>
  <c r="E116" i="1"/>
  <c r="E88" i="1"/>
  <c r="E9" i="1"/>
  <c r="F112" i="1"/>
  <c r="E115" i="1"/>
  <c r="E117" i="1"/>
  <c r="F81" i="1"/>
  <c r="E81" i="1" l="1"/>
  <c r="E112" i="1"/>
  <c r="C12" i="28" l="1"/>
  <c r="D10" i="28"/>
  <c r="D16" i="33"/>
  <c r="C10" i="28" l="1"/>
  <c r="D16" i="28"/>
  <c r="C16" i="28" s="1"/>
  <c r="C16" i="33"/>
  <c r="D15" i="33"/>
  <c r="C15" i="33" s="1"/>
  <c r="C11" i="33" l="1"/>
  <c r="D25" i="33" l="1"/>
  <c r="D9" i="33" l="1"/>
  <c r="E25" i="33" l="1"/>
  <c r="E9" i="33" l="1"/>
  <c r="F25" i="33" l="1"/>
  <c r="F9" i="33" l="1"/>
  <c r="G25" i="33" l="1"/>
  <c r="G9" i="33" l="1"/>
  <c r="C27" i="33" l="1"/>
  <c r="C12" i="33" l="1"/>
  <c r="C28" i="33" l="1"/>
  <c r="C13" i="33" l="1"/>
  <c r="C29" i="33" l="1"/>
  <c r="H25" i="33"/>
  <c r="C25" i="33" s="1"/>
  <c r="C14" i="33" l="1"/>
  <c r="H9" i="33"/>
  <c r="C9" i="33" s="1"/>
</calcChain>
</file>

<file path=xl/sharedStrings.xml><?xml version="1.0" encoding="utf-8"?>
<sst xmlns="http://schemas.openxmlformats.org/spreadsheetml/2006/main" count="1987" uniqueCount="391">
  <si>
    <t>№№ п/п</t>
  </si>
  <si>
    <t>Цель, задачи, основные мероприятия</t>
  </si>
  <si>
    <t>Срок выполнения (квартал, год)</t>
  </si>
  <si>
    <t>Объемы финансирования, тыс. рублей</t>
  </si>
  <si>
    <t>Всего</t>
  </si>
  <si>
    <t>Показатели (индикаторы) результативности выполнения основных мероприятий</t>
  </si>
  <si>
    <t>Наименование, ед. измерения</t>
  </si>
  <si>
    <t>1.</t>
  </si>
  <si>
    <t>1.1.</t>
  </si>
  <si>
    <t>Всего:</t>
  </si>
  <si>
    <t>в т.ч.:</t>
  </si>
  <si>
    <t>МБ</t>
  </si>
  <si>
    <t>ОБ</t>
  </si>
  <si>
    <t>ФБ</t>
  </si>
  <si>
    <t>ВБС</t>
  </si>
  <si>
    <t>1.2.</t>
  </si>
  <si>
    <t>Итого по задаче 1</t>
  </si>
  <si>
    <t>________________</t>
  </si>
  <si>
    <t>¹¹ При указании источников финансирования необходимо использовать следующие сокращения: МБ - бюджет муниципального образования Ловозерский район; ОБ - областной бюджет; ФБ - федеральный бюджет; ВБС - внебюджетные средства.</t>
  </si>
  <si>
    <t>¹² В случае, если организация определяется на основании конкурсных процедур, в графе указывается конкурсный отбор.</t>
  </si>
  <si>
    <t>2.</t>
  </si>
  <si>
    <t>Задача 2:</t>
  </si>
  <si>
    <t>2.2.</t>
  </si>
  <si>
    <t>Итого по задаче 2</t>
  </si>
  <si>
    <t>2.1.</t>
  </si>
  <si>
    <t>тыс. руб.</t>
  </si>
  <si>
    <t>№ п/п</t>
  </si>
  <si>
    <t xml:space="preserve">Цель,  </t>
  </si>
  <si>
    <t xml:space="preserve"> мероприятия</t>
  </si>
  <si>
    <t xml:space="preserve">Срок   </t>
  </si>
  <si>
    <t>выполнения</t>
  </si>
  <si>
    <t>(квартал,</t>
  </si>
  <si>
    <t xml:space="preserve">   год)</t>
  </si>
  <si>
    <t xml:space="preserve">Источники   </t>
  </si>
  <si>
    <t>финанси-рования[1]</t>
  </si>
  <si>
    <t xml:space="preserve">Объемы        </t>
  </si>
  <si>
    <t xml:space="preserve">Показатели (индикаторы)   </t>
  </si>
  <si>
    <t xml:space="preserve"> результативности выполнения</t>
  </si>
  <si>
    <t xml:space="preserve"> основных мероприятий</t>
  </si>
  <si>
    <t>Исполнители,</t>
  </si>
  <si>
    <t>организаций,</t>
  </si>
  <si>
    <t>участвующих</t>
  </si>
  <si>
    <t>в реализации</t>
  </si>
  <si>
    <t>основных</t>
  </si>
  <si>
    <t>мероприятий[2]</t>
  </si>
  <si>
    <t>всего</t>
  </si>
  <si>
    <t xml:space="preserve"> год</t>
  </si>
  <si>
    <t>Наименование,</t>
  </si>
  <si>
    <t>ед. измерения</t>
  </si>
  <si>
    <t xml:space="preserve">Всего:        </t>
  </si>
  <si>
    <t xml:space="preserve">в т.ч.:       </t>
  </si>
  <si>
    <t xml:space="preserve">МБ            </t>
  </si>
  <si>
    <t xml:space="preserve">ОБ            </t>
  </si>
  <si>
    <t xml:space="preserve">ФБ            </t>
  </si>
  <si>
    <t xml:space="preserve">ВБС            </t>
  </si>
  <si>
    <t>Всего по АВЦП</t>
  </si>
  <si>
    <t>[1] При указании источников финансирования необходимо использовать следующие сокращения: МБ - бюджет муниципального образования Ловозерский район; ОБ - областной бюджет; ФБ - федеральный бюджет; ВБ - внебюджетные средства.</t>
  </si>
  <si>
    <t>[2] В случае, если организация определяется на основании конкурсных процедур, в графе указывается «конкурсный отбор».</t>
  </si>
  <si>
    <t>МБДОУ «Детский сад №1», МБДОУ «Детский сад №2», МБДОУ «Детский сад №3», МБДОУ «Детский сад №4», МБДОУ «Детский сад №7», МБДОУ «Детский сад №8», МБДОУ «Детский сад №11»</t>
  </si>
  <si>
    <t>Предоставление общедоступного и бесплатного общего образования</t>
  </si>
  <si>
    <t>Государственная финансовая поддержка закупки и доставки нефтепродуктов и топлива в районы Мурманской области с ограниченными сроками завоза грузов</t>
  </si>
  <si>
    <t>МБОУ «Краснощельская средняя общеобразовательная школа».</t>
  </si>
  <si>
    <t>МБОУ «Ловозерская средняя общеобразовательная школа», МБОУ «Ревдская средняя общеобразовательная школа им. В.С.Воронина», МБОУ «Краснощельская средняя общеобразовательная школа».</t>
  </si>
  <si>
    <t>Выплата компенсации родительской платы</t>
  </si>
  <si>
    <t>2.3.</t>
  </si>
  <si>
    <t>3.</t>
  </si>
  <si>
    <t>Итого по задаче 3</t>
  </si>
  <si>
    <t>3.1.</t>
  </si>
  <si>
    <t>МБДОУ "Детский сад № 1"</t>
  </si>
  <si>
    <t>МБДОУ "Детский сад № 8"</t>
  </si>
  <si>
    <t>МБОУ «Ловозерская средняя общеобразовательная школа»</t>
  </si>
  <si>
    <t>МБОУ «Ревдская средняя общеобразовательная школа им. В.С.Воронина»</t>
  </si>
  <si>
    <t>2.1.1.</t>
  </si>
  <si>
    <t>МБДОУ "Детский сад № 2"</t>
  </si>
  <si>
    <t>МБДОУ "Детский сад № 3"</t>
  </si>
  <si>
    <t>2.1.2.</t>
  </si>
  <si>
    <t xml:space="preserve">Основные мероприятия 2.1 Обеспечение бесплатным цельным молоком либо питьевым молоком обучающихся начальных классов </t>
  </si>
  <si>
    <t>2.1.3.</t>
  </si>
  <si>
    <t>Реконструкция внутренних электрическох сетей и электрооборудования, в том числе:</t>
  </si>
  <si>
    <t>Ремонт асфальтного покрытия, в том числе:</t>
  </si>
  <si>
    <t>МБОУ «Ревдская средняя общеобразовательная школа им. В.С. Воронина»</t>
  </si>
  <si>
    <t>Ремонт кровли, в том числе:</t>
  </si>
  <si>
    <t>МБОУ «Ловозерская средняя общеобразовательная школа», МБОУ «Ревдская средняя общеобразовательная школа им. В.С. Воронина»</t>
  </si>
  <si>
    <t>Отдел по образованию администрации Ловозерского района</t>
  </si>
  <si>
    <t xml:space="preserve">основные   </t>
  </si>
  <si>
    <t xml:space="preserve">финансирования,   </t>
  </si>
  <si>
    <t xml:space="preserve">перечень  </t>
  </si>
  <si>
    <t>Цель: Создание в образовательных учреждениях Ловозерского района условий для полноценного качественного питания обучающихся с целью сохранения и укрепления их здоровья</t>
  </si>
  <si>
    <t xml:space="preserve">Обеспечение бесплатным цельным молоком либо питьевым молоком обучающихся начальных классов </t>
  </si>
  <si>
    <t xml:space="preserve">Обеспечение обучающихся бесплатным питанием в общеобразовательных учреждениях
</t>
  </si>
  <si>
    <t>Всего по ВЦП</t>
  </si>
  <si>
    <t>Перечень основных мероприятий ВЦП "Школьное здоровое питание"</t>
  </si>
  <si>
    <t>год</t>
  </si>
  <si>
    <t xml:space="preserve">Цель: Обеспечение эффективного функционирования и развития системы образования Ловозерского района                                                                                                    </t>
  </si>
  <si>
    <t>Перечень основных мероприятий АВЦП «Развитие системы образования Ловозерского района через эффективное выполнение муниципальных функций»</t>
  </si>
  <si>
    <t>Приложение № 1</t>
  </si>
  <si>
    <t>Перечень основных мероприятий Подпрограммы 1 "Развитие дошкольного, общего и дополнительного образования детей"</t>
  </si>
  <si>
    <t>Цель: Создание в системе дошкольного, общего и дополнительного образования равных возможностей получения качественного образования и позитивной социализации детей</t>
  </si>
  <si>
    <t>Осуществление полномочий, связанных с выплатой компенсации родительской платы</t>
  </si>
  <si>
    <t>Всего по Подпрограмме 1</t>
  </si>
  <si>
    <t>4.1.</t>
  </si>
  <si>
    <t>Количество муниципальных бюджетных дошкольных образовательных учреждений, ед.</t>
  </si>
  <si>
    <t>Количество муниципальных бюджетных образовательных учреждений, ед.</t>
  </si>
  <si>
    <t>Численность воспитанников, осваивающих образовательные программы дошкольного образования в муниципальных бюджетных образовательных учреждениях, реализующих образовательную программу дошкольного образования, чел.</t>
  </si>
  <si>
    <t>Объем дизельного топлива, планирумый к доставке, тыс. тонн</t>
  </si>
  <si>
    <t>Количество обучающихся в муниципальных бюджетных образовательных учреждениях, чел.</t>
  </si>
  <si>
    <t>Доля граждан, воспользовавшихся правом получения компенсации части родительской платы, от общей численности граждан, имеющих указанное право, %</t>
  </si>
  <si>
    <t>Количество граждан, имеющих право на  получение компенсации части родительской платы, чел.</t>
  </si>
  <si>
    <t>Количество граждан, имеющих право на  получение гарантий и компенсаций, чел.</t>
  </si>
  <si>
    <t>Доля граждан, воспользовавшихся правом получения гарантий и компенсаций, от общей численности граждан, имеющих указанное право, %</t>
  </si>
  <si>
    <t>Приложение № 5</t>
  </si>
  <si>
    <t>Приложение № 3</t>
  </si>
  <si>
    <t>Перечень основных мероприятий Подпрограммы 2 "Развитие современной инфраструктуры системы образования в Ловозерском районе"</t>
  </si>
  <si>
    <t>Цель: Формирование условий, обеспечивающих соответствие учреждений образования современным требованиям</t>
  </si>
  <si>
    <t>Приложение № 7</t>
  </si>
  <si>
    <t>4. Обоснование ресурсного обеспечения подпрограммы 1 "Развитие дошкольного, общего и дополнительного образования детей"</t>
  </si>
  <si>
    <t>Таблица № 2[1]</t>
  </si>
  <si>
    <t>Источник финансирования</t>
  </si>
  <si>
    <t xml:space="preserve">Всего,  </t>
  </si>
  <si>
    <t xml:space="preserve">В том числе по годам  </t>
  </si>
  <si>
    <t xml:space="preserve"> реализации, тыс. руб.</t>
  </si>
  <si>
    <t>Всего по подпрограмме 1 "Развитие дошкольного, общего и дополнительного образования детей"</t>
  </si>
  <si>
    <t xml:space="preserve">в том числе за счет:              </t>
  </si>
  <si>
    <t>средств бюджета муниципального образования Ловозерский район</t>
  </si>
  <si>
    <t xml:space="preserve">средств областного бюджета       </t>
  </si>
  <si>
    <t>средств федерального бюджета</t>
  </si>
  <si>
    <t>внебюджетных средств</t>
  </si>
  <si>
    <t>В том числе по Заказчикам[2]</t>
  </si>
  <si>
    <t>Заказчик 1 МБДОУ "Детский сад № 1"</t>
  </si>
  <si>
    <t xml:space="preserve">в т.ч. средств бюджета муниципального образования Ловозерский район         </t>
  </si>
  <si>
    <t xml:space="preserve">средств федерального бюджета     </t>
  </si>
  <si>
    <t xml:space="preserve">внебюджетных средств             </t>
  </si>
  <si>
    <t>в т.ч. инвестиции в основной капитал[3]</t>
  </si>
  <si>
    <t>Заказчик 2 МБДОУ "Детский сад № 2"</t>
  </si>
  <si>
    <t xml:space="preserve">в т.ч. инвестиции в основной капитал    </t>
  </si>
  <si>
    <t>Заказчик 3 МБДОУ "Детский сад № 3"</t>
  </si>
  <si>
    <t>Заказчик 4 МБДОУ "Детский сад № 4"</t>
  </si>
  <si>
    <t>Заказчик 12 МБОУ "Краснощельская средняя общеобразовательная школа"</t>
  </si>
  <si>
    <t>[1] Если таблицу № 2 печатают более чем на одной странице, то на каждой последующей странице дублируются заголовки и названия ее граф.</t>
  </si>
  <si>
    <t>[2] Для ВЦП не указывается.</t>
  </si>
  <si>
    <t>[3] Инвестиции в основной капитал - совокупность затрат, направленных на создание и воспроизводство основных средств (новое строительство, расширение, а также реконструкция и модернизация объектов, которые приводят к увеличению их первоначальной стоимости, приобретение машин, оборудования, транспортных средств).</t>
  </si>
  <si>
    <t>4. Обоснование ресурсного обеспечения подпрограммы 2 "Развитие современной инфраструктуры системы образования в Ловозерском районе"</t>
  </si>
  <si>
    <t xml:space="preserve">Всего по подпрограмме 2 "Развитие современной инфраструктуры системы образования в Ловозерском районе"   </t>
  </si>
  <si>
    <r>
      <t>Источники финансирования</t>
    </r>
    <r>
      <rPr>
        <sz val="10"/>
        <rFont val="Calibri"/>
        <family val="2"/>
        <charset val="204"/>
      </rPr>
      <t>¹¹</t>
    </r>
  </si>
  <si>
    <r>
      <t>Исполнители, перечень организаций, участвующих в реализации основных мероприятий</t>
    </r>
    <r>
      <rPr>
        <sz val="10"/>
        <rFont val="Calibri"/>
        <family val="2"/>
        <charset val="204"/>
      </rPr>
      <t>¹²</t>
    </r>
  </si>
  <si>
    <t>Приложение № 2</t>
  </si>
  <si>
    <t>Приложение № 4</t>
  </si>
  <si>
    <t>Приложение № 6</t>
  </si>
  <si>
    <t xml:space="preserve">Всего по подпрограмме 4 "Организация отдыха, оздоровления и занятости детей и молодежи, родителей с детьми в Ловозерском районе":        </t>
  </si>
  <si>
    <t>4. Обоснование ресурсного обеспечения ВЦП "Школьное здоровое питание"</t>
  </si>
  <si>
    <t>Всего по ВЦП "Школьное здоровое питание"</t>
  </si>
  <si>
    <t>Заказчик 1  МБОУ «Ловозерская средняя общеобразовательная школа»</t>
  </si>
  <si>
    <t>в т.ч. средств бюджета муниципального образования Ловозерский район</t>
  </si>
  <si>
    <t>Заказчик 2  МБОУ «Ревдская средняя общеобразовательная школа им. В.С.Воронина»</t>
  </si>
  <si>
    <t>Заказчик 3  МБОУ «Краснощельская средняя общеобразовательная школа».</t>
  </si>
  <si>
    <t>Приложение № 8</t>
  </si>
  <si>
    <t xml:space="preserve">Всего по подпрограмме 3 "Обеспечение реализации муниципальной программы  и прочие мероприятия в области образования":   </t>
  </si>
  <si>
    <t>Всего по АВЦП «Развитие системы образования Ловозерского района через эффективное выполнение муниципальных функций»</t>
  </si>
  <si>
    <t>Всего по Программе</t>
  </si>
  <si>
    <t>МБДОУ «Детский сад № 1», МБДОУ «Детский сад № 2», МБДОУ «Детский сад № 3», МБДОУ «Детский сад № 4», МБДОУ «Детский сад № 7», МБДОУ «Детский сад № 8», МБДОУ «Детский сад № 11»</t>
  </si>
  <si>
    <t>МБОУ дополнительного образования «Центр детского творчества», МБОУ дополнительного образования «Детско-юношеская спортивная школа»</t>
  </si>
  <si>
    <t>МБОУ дополнительного образования «Центр детского творчества»</t>
  </si>
  <si>
    <t>Всего по Подпрограмме 2</t>
  </si>
  <si>
    <t>Итого по задаче 4</t>
  </si>
  <si>
    <t>2020 год</t>
  </si>
  <si>
    <t>2021 год</t>
  </si>
  <si>
    <t>2022 год</t>
  </si>
  <si>
    <t>2023 год</t>
  </si>
  <si>
    <t>2024 год</t>
  </si>
  <si>
    <t>МБОУ «Ловозерская средняя общеобразовательная школа», МБОУ «Ревдская средняя общеобразовательная школа им. В.С.Воронина», МБОУ «Краснощельская средняя общеобразовательная школа им. Героя РФ С.В. Перца»</t>
  </si>
  <si>
    <t>МБОУ «Краснощельская средняя общеобразовательная школа им. Героя РФ С.В. Перца»</t>
  </si>
  <si>
    <t>МБДОУ «Детский сад № 1», МБДОУ «Детский сад № 2», МБДОУ «Детский сад № 3», МБДОУ «Детский сад № 4», МБДОУ «Детский сад № 7», МБДОУ «Детский сад № 8», МБДОУ «Детский сад № 11», МБОУ "Ловозерская средняя общеобразовательная школа", МБОУ "Ревдская средняя общеобразовательная школа им. В.С.Воронина", МБОУ «Краснощельская средняя общеобразовательная школа им. Героя РФ С.В. Перца», МБОУ дополнительного образования "Центр детского творчества", МБОУ дополнительного образования "Детско-юношеская спортивная школа"</t>
  </si>
  <si>
    <t>МБОУ "Ловозерская средняя общеобразовательная школа", МБОУ "Ревдская средняя общеобразовательная школа им. В.С.Воронина", МБОУ «Краснощельская средняя общеобразовательная школа им. Героя РФ С.В. Перца»</t>
  </si>
  <si>
    <t>2020 - 2024 годы</t>
  </si>
  <si>
    <t xml:space="preserve"> МБОУ «Ревдская средняя общеобразовательная школа им. В.С.Воронина»</t>
  </si>
  <si>
    <t>Ремонт температурных швов фасада здания МБДОУ № 3</t>
  </si>
  <si>
    <t>2020 годы</t>
  </si>
  <si>
    <t>Количество муниципальных бюджетных образовательных учреждений дополнительного образования, ед.</t>
  </si>
  <si>
    <t xml:space="preserve">Колличество детей, охваченных образовательными программами дополнительного образования в муниципальных бюджетных образовательных учреждениях дополнительного образования, в общей численности детей и молодежи в возрасте 5-18 лет,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</si>
  <si>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</si>
  <si>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МБОУ «Ловозерская средняя общеобразовательная школа», МБОУ «Ревдская средняя общеобразовательная школа им. В.С.Воронина»</t>
  </si>
  <si>
    <t xml:space="preserve">Ремонт фасада здания </t>
  </si>
  <si>
    <t xml:space="preserve">МБДОУ "Детский сад № 3", </t>
  </si>
  <si>
    <t>МБДОУ "Детский сад № 1", МБДОУ "Детский сад № 2"</t>
  </si>
  <si>
    <t xml:space="preserve">Замена линолиума </t>
  </si>
  <si>
    <t>Задача 1: Обеспечение предоставления услуг в сфере дошкольного, общего и дополнительного образования</t>
  </si>
  <si>
    <t>Задача 2:  Обеспечение реализации предоставления компенсации части родительской платы</t>
  </si>
  <si>
    <t>Задача 3: обеспечение реализации гарантий и компенсаций работникам организаций сферы образования, расположенных в районах Крайнего Севера и приравненым к ним местностям</t>
  </si>
  <si>
    <t>Администрация Ловозерского района Мурманской области</t>
  </si>
  <si>
    <t>Отдел по образованию администрации Ловозерского района, Администрация Ловозерского района Мурманской области</t>
  </si>
  <si>
    <t>МБДОУ «Детский сад №1», МБДОУ «Детский сад №2», МБДОУ «Детский сад №3», МБДОУ «Детский сад №4», МБДОУ «Детский сад №7», МБДОУ «Детский сад №8», МБДОУ «Детский сад №11», МБОУ дополнительного образования «Центр детского творчества»</t>
  </si>
  <si>
    <t>Задача 1: Приобретение нового оборудования, спортинвентаря, обновление морально устаревших основных средств, библиотечных фондов.</t>
  </si>
  <si>
    <t>Задача 2: Обеспечение соответствия учреждений образования требованиям безопасности.</t>
  </si>
  <si>
    <t>Задача 3: Обеспечение соответствия учреждений образования противопожарным нормам и требованиям</t>
  </si>
  <si>
    <t>Задача 4: Обеспечение соответствия учреждений образования санитарно-гигиеническим нормам и требованиям</t>
  </si>
  <si>
    <t>Ремонт цоколя здания восстановление отмостков по периметру зданий</t>
  </si>
  <si>
    <t xml:space="preserve">МБОУ дополнительного образования "Детско-юношеская спортивная школа" </t>
  </si>
  <si>
    <t>Оборудование (реконструкция), ремонт вентиляции, в том числе:</t>
  </si>
  <si>
    <t>Ремонт туалетных помещений, в том числе:</t>
  </si>
  <si>
    <t xml:space="preserve"> МБДОУ "Детский сад № 2"</t>
  </si>
  <si>
    <t>Установка металического ограждения по периметру, в том числе:</t>
  </si>
  <si>
    <t>Замена светильников РСОШ</t>
  </si>
  <si>
    <t>МБДОУ "Детский сад № 2", МБОУ «Ловозерская средняя общеобразовательная школа»</t>
  </si>
  <si>
    <t>Установка фильтров очистки воды в РСОШ</t>
  </si>
  <si>
    <t>Ремонт помещений центров образования цифрового и гуманитарного профиля "Точка роста", в том числе:</t>
  </si>
  <si>
    <t>2.4.</t>
  </si>
  <si>
    <t>2.5.</t>
  </si>
  <si>
    <t>2.6.</t>
  </si>
  <si>
    <t>3.2.</t>
  </si>
  <si>
    <t>3.3.</t>
  </si>
  <si>
    <t>4.2.</t>
  </si>
  <si>
    <t>4.3.</t>
  </si>
  <si>
    <t>4.4.</t>
  </si>
  <si>
    <t>4.5.</t>
  </si>
  <si>
    <t>Предоставление общедоступного и бесплатного дошкольного образования</t>
  </si>
  <si>
    <t xml:space="preserve"> Предоставление общедоступного и бесплатного дополнительного образования</t>
  </si>
  <si>
    <t>1.3.</t>
  </si>
  <si>
    <t>1.4.</t>
  </si>
  <si>
    <t>Обеспечение реализации предоставления гарантий и компенсаций работникам организаций сферы образования, расположенных в районах Крайнего Севера и приравненым к ним местностям</t>
  </si>
  <si>
    <t>3.1.1.</t>
  </si>
  <si>
    <t>3.1.2.</t>
  </si>
  <si>
    <t>3.1.3.</t>
  </si>
  <si>
    <t>Осуществление полномочий, связанных с выплатой компенсации родительской платы (банковские услуги)</t>
  </si>
  <si>
    <t>Сведения об объемах финансирования муниципальной программы "Развитие образования Ловозерского района" на 2020 - 2024 годы</t>
  </si>
  <si>
    <t>Приобретение оборудования и инвентаря, в том числе:</t>
  </si>
  <si>
    <t>МБДОУ «Детский сад №1»</t>
  </si>
  <si>
    <t>МБДОУ «Детский сад №2»</t>
  </si>
  <si>
    <t>МБДОУ «Детский сад №3»</t>
  </si>
  <si>
    <t>МБДОУ «Детский сад №4»</t>
  </si>
  <si>
    <t>МБДОУ «Детский сад №7»</t>
  </si>
  <si>
    <t>МБДОУ «Детский сад №8»</t>
  </si>
  <si>
    <t>МБДОУ «Детский сад №11»</t>
  </si>
  <si>
    <t>Основные мероприятия 1.3 Приобретение детской мебели, в том числе:</t>
  </si>
  <si>
    <t>МБДОУ "Детский сад № 7"</t>
  </si>
  <si>
    <t>4.6.</t>
  </si>
  <si>
    <t>4.7.</t>
  </si>
  <si>
    <t>4.8.</t>
  </si>
  <si>
    <t>Ремонт хим. Кабинета на ОГЭ РСОШ</t>
  </si>
  <si>
    <t>Ремонт участка теплотрассы РСОШ</t>
  </si>
  <si>
    <t>Основные мероприятия 1.4 Приобретение палатки для участия детей в выездных туристических слетах</t>
  </si>
  <si>
    <t>1.5.</t>
  </si>
  <si>
    <t>Основные мероприятия 1.5 Приобретение помоста для ушу-санда МБОУ ДО ДЮСШ</t>
  </si>
  <si>
    <t>1.6.</t>
  </si>
  <si>
    <t>Основные мероприятия 1.6 Создание новых мест дополнительного образования детей в РСОШ</t>
  </si>
  <si>
    <t>Основные мероприятия 1.2 Обновление материально-технической базы для формирования у обучающихся современных технологических и гуманитарных навыков. Создание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том числе:</t>
  </si>
  <si>
    <t>Администрация Ловозерского района</t>
  </si>
  <si>
    <t>Реконструкция здания детского сада в с. Краснощелье, вкл. ПСД</t>
  </si>
  <si>
    <t>2.7.</t>
  </si>
  <si>
    <t>Реализация полномочий в сфере образования</t>
  </si>
  <si>
    <t>Осуществление полномочий в сфере образования в полном объеме, да - 1, нет - 0</t>
  </si>
  <si>
    <t>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</si>
  <si>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вознаграждение за классное руководство, в общей численности педагогических работников такой категории</t>
  </si>
  <si>
    <t>Реализация Решения Ловозерского районного Совета "О муниципальных гарантиях и компенсациях, правовое регулирование которых отнесено к полномочиям органов местного самоуправления муниципального образования Ловозерский район, для лиц, работающих и проживающих в муниципальном образовании Ловозерский район Мурманской области расположенного в районах Крайнего Севера" в части оплаты проезда граждан и членов их семьей и провоза багажа, связанных с выездом за пределы Мурманской области</t>
  </si>
  <si>
    <t>1.7.</t>
  </si>
  <si>
    <t>Основные мероприятия 1.7 Приобретение конкурсной и репетиционной формы для танцевального коллектива МБОУ ДО "Центр детского творчества"</t>
  </si>
  <si>
    <t xml:space="preserve">МБОУ дополнительного образования "Центр детского творчества" </t>
  </si>
  <si>
    <t>1.8.</t>
  </si>
  <si>
    <t>Основные мероприятия 1.8 Приобретение оборудования для работы с детьми с ослабленным здоровьем, детьми-инвалидами и ОВЗ по программе "Адаптивная физкультура" в МБОУ ДО "ДЮСШ"</t>
  </si>
  <si>
    <t>Замена теплосчетчиков</t>
  </si>
  <si>
    <t>3.4.</t>
  </si>
  <si>
    <t>Замена трубопроводов холодного, горячего водоснабжения, канализации и сантехнических приборов ДОУ № 1</t>
  </si>
  <si>
    <t>3.5.</t>
  </si>
  <si>
    <t>Замена трубопроводов холодного и горячего водоснабжения в подвальном помещении ДОУ № 3</t>
  </si>
  <si>
    <t>МБДОУ "Детский сад № 2", МБДОУ "Детский сад № 7", МБДОУ "Детский сад № 11", МБОУ «Ревдская средняя общеобразовательная школа им. В.С. Воронина»</t>
  </si>
  <si>
    <t>Ремонт и замена оборудования пищеблока ДОУ № 2</t>
  </si>
  <si>
    <t>Ремонт и оборудование актового зала "МБОУ РСОШ им. В.С. Воронина"</t>
  </si>
  <si>
    <t>4.9.</t>
  </si>
  <si>
    <t>Демонтаж веранды в ДОУ № 7</t>
  </si>
  <si>
    <t>4.10.</t>
  </si>
  <si>
    <t>Ремонт кабинета физики РСОШ</t>
  </si>
  <si>
    <t>4.11.</t>
  </si>
  <si>
    <t>Ремонтные работы по оборудованию учебных классов начальной школы умывальниками</t>
  </si>
  <si>
    <t>4.12.</t>
  </si>
  <si>
    <t>Замена деревянных блоков на блоки из ПВХ</t>
  </si>
  <si>
    <t>МБДОУ "Детский сад № 11"</t>
  </si>
  <si>
    <t>МБДОУ "Детский сад № 2", МБДОУ "Детский сад № 7", МБДОУ "Детский сад № 8"</t>
  </si>
  <si>
    <t xml:space="preserve">МБДОУ "Детский сад № 1", МБДОУ "Детский сад № 8", МБОУ «Ревдская средняя общеобразовательная школа им. В.С. Воронина», МБОУ дополнительного образования "Детско-юношеская спортивная школа" </t>
  </si>
  <si>
    <t>МБДОУ "Детский сад № 3", МБОУ «Ловозерская средняя общеобразовательная школа», МБОУ «Ревдская средняя общеобразовательная школа им. В.С. Воронина»</t>
  </si>
  <si>
    <t>МБДОУ "Детский сад № 1", МБДОУ "Детский сад № 2", МБДОУ "Детский сад № 3", МБДОУ "Детский сад № 7"</t>
  </si>
  <si>
    <t>2.8.</t>
  </si>
  <si>
    <t>МБОУ дополнительного образования "Центр детского творчества", МБОУ дополнительного образования "Детско-юношеская спортивная школа"</t>
  </si>
  <si>
    <t>МБОУ "Ревдская средняя общеобразовательная школа им. В.С.Воронина"</t>
  </si>
  <si>
    <t>ПСД здания школы РСОШ</t>
  </si>
  <si>
    <t>2.9.</t>
  </si>
  <si>
    <t>Приобретение оборудования, инвентаря для школьных столовых образовательных учреждений общего образования</t>
  </si>
  <si>
    <t>2020 - 2021 год</t>
  </si>
  <si>
    <t>2020 - 2021 годы</t>
  </si>
  <si>
    <t>2021 - 2024 годы</t>
  </si>
  <si>
    <t>2020 2021 год</t>
  </si>
  <si>
    <t>4.13.</t>
  </si>
  <si>
    <t xml:space="preserve">Освещение стадиона в п. Ревда по адресу: пер. Полярный </t>
  </si>
  <si>
    <t>МБОУ дополнительного образования "Детско-юношеская спортивная школа"</t>
  </si>
  <si>
    <t>3.6.</t>
  </si>
  <si>
    <t>Установка оконных блоков</t>
  </si>
  <si>
    <t>4.14.</t>
  </si>
  <si>
    <t>Разработка ПСД на капитальный ремонт туалетных помещений и ее экспертиза</t>
  </si>
  <si>
    <t>4.15.</t>
  </si>
  <si>
    <t xml:space="preserve">Приобретение сантехники и сопутствующих товаров </t>
  </si>
  <si>
    <t>4.16.</t>
  </si>
  <si>
    <t>2.10.</t>
  </si>
  <si>
    <t>МБОУ дополнительного образования "Центр детского творчества"</t>
  </si>
  <si>
    <t>2.11.</t>
  </si>
  <si>
    <t>МБОУ "Ловозерская средняя общеобразовательная школа"</t>
  </si>
  <si>
    <t>Подготовка основания для спортивной площадки</t>
  </si>
  <si>
    <t>Монтаж и наладка охранно-пожарной сигнализации в МБОУ ДО "ЦДТ", по адресу: с. Ловозеро, ул. Советская, д. 20</t>
  </si>
  <si>
    <t>4.17.</t>
  </si>
  <si>
    <t>Ремонт пищеблока ДОУ № 3</t>
  </si>
  <si>
    <t>Приобретение сушильных шкафов в ДОУ № 1</t>
  </si>
  <si>
    <t>1.9.</t>
  </si>
  <si>
    <t>Капитальный ремонт уборных комнат ЛСОШ</t>
  </si>
  <si>
    <t>Перечень основных мероприятий Подпрограммы 5 "Обеспечение персонифицированного финансирования дополнительного образования детей"</t>
  </si>
  <si>
    <t>Организация и проведение мероприятий в сфере персонифицированного финансирования дополнительного образования детей, в том числе:</t>
  </si>
  <si>
    <t xml:space="preserve">Обеспечение затрат уполномоченной организации </t>
  </si>
  <si>
    <t xml:space="preserve">Обеспечение персонифицированного финансирования дополнительного образования детей уполномоченной организацией </t>
  </si>
  <si>
    <t>1.1.1.</t>
  </si>
  <si>
    <t>1.1.2.</t>
  </si>
  <si>
    <t>4. Обоснование ресурсного обеспечения подпрограммы 5 "Обеспечение персонифицированного финансирования дополнительного образования детей"</t>
  </si>
  <si>
    <t xml:space="preserve">Всего по подпрограмме 5 "Обеспечение персонифицированного финансирования дополнительного образования детей"   </t>
  </si>
  <si>
    <t>Всего по Подпрограмме 5</t>
  </si>
  <si>
    <t xml:space="preserve">Всего по подпрограмме 5 "Обеспечение персонифицированного финансирования дополнительного образования детей":        </t>
  </si>
  <si>
    <t>Заказчик 5 МБДОУ "Детский сад № 7"</t>
  </si>
  <si>
    <t>Заказчик 6 МБДОУ "Детский сад № 8"</t>
  </si>
  <si>
    <t>Заказчик 7 МБДОУ "Детский сад № 11"</t>
  </si>
  <si>
    <t>Заказчик 8 МБОУ ДО "Центр детского творчества"</t>
  </si>
  <si>
    <t>Заказчик 9 МБОУ ДО "Детско-юношеская спортивная школа"</t>
  </si>
  <si>
    <t>Заказчик 10 МБОУ "Ловозерская средняя общеобразовательная школа"</t>
  </si>
  <si>
    <t>Заказчик 11 МБОУ "Ревдская средняя общеобразовательная школа им. В.С. Воронина"</t>
  </si>
  <si>
    <t>Заказчик 12 Администрация Ловозерского района</t>
  </si>
  <si>
    <t>Приложение № 9</t>
  </si>
  <si>
    <t>Приложение № 10</t>
  </si>
  <si>
    <t>Установление системы контроля и учета доступа в рамках антитеррористической защищенности объекта</t>
  </si>
  <si>
    <t>Перечень основных мероприятий подпрограммы 4 "Организация отдыха, оздоровления и занятости детей и молодежи, родителей с детьми в Ловозерском районе"</t>
  </si>
  <si>
    <t>Цель: организация каникулярного оздоровления, отдыха и занятости детей</t>
  </si>
  <si>
    <t>Задача 1:  Обеспечение качественным каникулярным отдыхом детей в детских оздоровительных лагерях с дневным пребыванием на базе общеобразовательных учреждений Ловозерского района</t>
  </si>
  <si>
    <t>Обеспечение отдыхом детей в детских оздоровительных лагерях с дневным пребыванием детей на базе общеобразовательных учреждений Ловозерского района.</t>
  </si>
  <si>
    <t>Количество детей , отдохнувших в детских оздоровительных лагерях с дневным пребыванием на базе образовательных учреждений Ловозерского района, чел.</t>
  </si>
  <si>
    <t>МБОУ дополнительного образования «Центр детского творчества», МБОУ «Ловозерская средняя общеобразовательная школа», МБОУ «Ревдская средняя общеобразовательная школа им. В.С.Воронина», МБОУ «Краснощельская средняя общеобразовательная школа».</t>
  </si>
  <si>
    <t>Организация палаточных лагерей, экспедиций, организованных в муниципальных образовательных организациях</t>
  </si>
  <si>
    <t>Количество детей , отдохнувших в палаточных лагерях, чел.</t>
  </si>
  <si>
    <t>МБОУ дополнительного образования «Детско-юношеская спортивная школа»</t>
  </si>
  <si>
    <t>Задача 2: Обеспечение качественным отдыхом обучающихся Ловозерского района, находящихся в трудной жизненной ситуации, в выездных оздоровительных лагерях и санаториях за пределами Ловозерского района и Мурманской области</t>
  </si>
  <si>
    <t xml:space="preserve">Обеспечение отдыхом обучающихся Ловозерского района, находящихся в трудной жизненной ситуации. </t>
  </si>
  <si>
    <t>%</t>
  </si>
  <si>
    <t>Задача 3:  Обеспечение качественным отдыхом обучающихся Ловозерского района в выездных оздоровительных лагерях и санаториях за пределами Ловозерского района и Мурманской области</t>
  </si>
  <si>
    <t>Обеспечение отдыхом обучающихся Ловозерского района в выездных оздоровительных лагерях и санаториях за пределами  района и области.</t>
  </si>
  <si>
    <t>Всего по подпрограмме 4</t>
  </si>
  <si>
    <t>__________</t>
  </si>
  <si>
    <t>4. Обоснование ресурсного обеспечения подпрограммы 4 "Организация отдыха, оздоровления и занятости детей и молодежи, родителей с детьми в Ловозерском районе"</t>
  </si>
  <si>
    <t>Перечень основных мероприятий подпрограммы 3 "Обеспечение реализации муниципальной программы и прочие мероприятия в области образования"</t>
  </si>
  <si>
    <t>Цель: Обеспечение организационных, организационно-технологических, технических, информационных и методических условий для реализации муниципальной программы</t>
  </si>
  <si>
    <t>Задача 1: Вовлечение детей и подростков Ловозерского района в творческую деятельность.</t>
  </si>
  <si>
    <t>Проведение мероприятий для детей и молодежи.</t>
  </si>
  <si>
    <t>Доля проведенных мероприятий для  обучающихся и воспитанников муниципальных бюджетных образовательных учреждениях Ловозерского района, в общем количестве запланированных, %</t>
  </si>
  <si>
    <t>МБОУ дополнительного образования «Центр детского творчества», МБОУ дополнительного образования «Детско-юношеская спортивная школа», МБОУ «Ловозерская средняя общеобразовательная школа», МБОУ «Ревдская средняя общеобразовательная школа им. В.С.Воронина», МБОУ «Краснощельская средняя общеобразовательная школа им. Героя РФ С.В. Перца».</t>
  </si>
  <si>
    <t xml:space="preserve"> Содействие развитию потенциала талантливых детей.</t>
  </si>
  <si>
    <t>Премия Главы Ловозерского района</t>
  </si>
  <si>
    <t>Задача 2: Обеспечение проведения государственной итоговой аттестации обучающихся, освоивших образовательные программы основного общего или среднего общего образования, в том числе в форме единого государственного экзамена.</t>
  </si>
  <si>
    <t>Проведение Основного государственного экзамена</t>
  </si>
  <si>
    <t>Отдел по образованию администрации Ловозерского района, МБОУ «Ловозерская средняя общеобразовательная школа», МБОУ «Ревдская средняя общеобразовательная школа им. В.С.Воронина», МБОУ «Краснощельская средняя общеобразовательная школа им. Героя РФ С.В. Перца».</t>
  </si>
  <si>
    <t>Проведение Единого государственного экзамена</t>
  </si>
  <si>
    <t>Доля выпускников муниципальных школ, не сдавших единый государственный экзамен, в общей численности выпускников муниципальных школ.</t>
  </si>
  <si>
    <t>Обеспечение технической защиты конфиденциальной информации (ТЗКИ) и поставка средств защиты информации для АРМ ФИС ФРДО</t>
  </si>
  <si>
    <t>МБОУ «Ловозерская средняя общеобразовательная школа».</t>
  </si>
  <si>
    <t>Задача 3: Обеспечение проведения мероприятий для обучающихся, осваивающих образовательные программы основного общего и дошкольного образования.</t>
  </si>
  <si>
    <t>Мероприятия к празднованию Нового года.</t>
  </si>
  <si>
    <t>количество участников, чел.</t>
  </si>
  <si>
    <t>Отдел по образованию администрации Ловозерского района.</t>
  </si>
  <si>
    <t>4.</t>
  </si>
  <si>
    <t>Задача 4:  Воспитание у молодежи высокой гражданско-социальной активности, патриотизма, приверженности идеям интернационализма, противодействия идеологии экстремизма.</t>
  </si>
  <si>
    <t>Приобретение формы для Юнармии РСОШ</t>
  </si>
  <si>
    <t>Материально-техническая обеспеченность муниципального отряда регионального отделения ВВПОД «Юнармия», %</t>
  </si>
  <si>
    <t xml:space="preserve">Всего по Подпрограмме 3 </t>
  </si>
  <si>
    <t>4. Обоснование ресурсного обеспечения подпрограммы 3 "Обеспечение реализации муниципальной программы  и прочие мероприятия в области образования"</t>
  </si>
  <si>
    <t xml:space="preserve">Всего по подпрограмме 3 "Обеспечение реализации муниципальной программы  и прочие мероприятия в области образования":        </t>
  </si>
  <si>
    <t>Заказчик 1 МБОУ дополнительного образования «Центр детского творчества»</t>
  </si>
  <si>
    <t>Заказчик 2   МБОУ дополнительного образования «Детско-юношеская спортивная школа»</t>
  </si>
  <si>
    <t>Заказчик 3  МБОУ «Ловозерская средняя общеобразовательная школа»</t>
  </si>
  <si>
    <t>Заказчик 4 МБОУ «Ревдская средняя общеобразовательная школа им. В.С.Воронина»</t>
  </si>
  <si>
    <t>Заказчик 5   Отдел по образованию администрации Ловозерского района</t>
  </si>
  <si>
    <t>Приложение № 11</t>
  </si>
  <si>
    <t>Приложение № 12</t>
  </si>
  <si>
    <t>Приложение № 13</t>
  </si>
  <si>
    <t>4.18.</t>
  </si>
  <si>
    <t>Реализация мероприятий по преобразованию школьных пространств "Arctic schools"</t>
  </si>
  <si>
    <t>Цель: Обеспечение персонифицированного финансирования дополнительного образования детей</t>
  </si>
  <si>
    <t>Задача 1: Повышение вариативности дополнительного образования  детей, качества и доступности дополнительных образовательных программ для детей</t>
  </si>
  <si>
    <t>АНО "ЦГИК" (в 2021 году)</t>
  </si>
  <si>
    <t>Приложение № 14</t>
  </si>
  <si>
    <t>к постановлению администрации Ловозерсого района от 23.06.2021 № 365-ПЗ</t>
  </si>
  <si>
    <t>к постановлению администрации Ловозерсого района от 23.06.2021 № 365- ПЗ</t>
  </si>
  <si>
    <t>к постановлению администрации Ловозерсого района от 23.06.2021 №  365- ПЗ</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</si>
</sst>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numFmt numFmtId="165" formatCode="0.00000"/>
    <numFmt numFmtId="166" formatCode="#,##0.0"/>
    <numFmt numFmtId="167" formatCode="#,##0.0;[Red]#,##0.0"/>
    <numFmt numFmtId="168" formatCode="#,##0.00;[Red]#,##0.00"/>
  </numFmts>
  <fonts count="30" x14ac:knownFonts="1">
    <font>
      <sz val="11"/>
      <color theme="1"/>
      <name val="Calibri"/>
      <family val="2"/>
      <charset val="204"/>
      <scheme val="minor"/>
    </font>
    <font>
      <sz val="10"/>
      <color theme="1"/>
      <name val="Times New Roman"/>
      <family val="1"/>
      <charset val="204"/>
    </font>
    <font>
      <sz val="14"/>
      <color theme="1"/>
      <name val="Times New Roman"/>
      <family val="1"/>
      <charset val="204"/>
    </font>
    <font>
      <sz val="12"/>
      <color theme="1"/>
      <name val="Times New Roman"/>
      <family val="1"/>
      <charset val="204"/>
    </font>
    <font>
      <u/>
      <sz val="11"/>
      <color theme="10"/>
      <name val="Calibri"/>
      <family val="2"/>
      <charset val="204"/>
      <scheme val="minor"/>
    </font>
    <font>
      <sz val="10"/>
      <color rgb="FFFF0000"/>
      <name val="Times New Roman"/>
      <family val="1"/>
      <charset val="204"/>
    </font>
    <font>
      <b/>
      <sz val="11"/>
      <color theme="1"/>
      <name val="Calibri"/>
      <family val="2"/>
      <charset val="204"/>
      <scheme val="minor"/>
    </font>
    <font>
      <sz val="8"/>
      <color theme="1"/>
      <name val="Times New Roman"/>
      <family val="1"/>
      <charset val="204"/>
    </font>
    <font>
      <sz val="10"/>
      <name val="Times New Roman"/>
      <family val="1"/>
      <charset val="204"/>
    </font>
    <font>
      <sz val="11"/>
      <color theme="1"/>
      <name val="Times New Roman"/>
      <family val="1"/>
      <charset val="204"/>
    </font>
    <font>
      <sz val="8"/>
      <color theme="1"/>
      <name val="Calibri"/>
      <family val="2"/>
      <charset val="204"/>
      <scheme val="minor"/>
    </font>
    <font>
      <b/>
      <sz val="12"/>
      <color theme="1"/>
      <name val="Times New Roman"/>
      <family val="1"/>
      <charset val="204"/>
    </font>
    <font>
      <sz val="11"/>
      <color theme="10"/>
      <name val="Calibri"/>
      <family val="2"/>
      <charset val="204"/>
      <scheme val="minor"/>
    </font>
    <font>
      <sz val="12"/>
      <name val="Times New Roman"/>
      <family val="1"/>
      <charset val="204"/>
    </font>
    <font>
      <sz val="11"/>
      <name val="Times New Roman"/>
      <family val="1"/>
      <charset val="204"/>
    </font>
    <font>
      <sz val="11"/>
      <name val="Calibri"/>
      <family val="2"/>
      <charset val="204"/>
      <scheme val="minor"/>
    </font>
    <font>
      <sz val="10"/>
      <name val="Calibri"/>
      <family val="2"/>
      <charset val="204"/>
    </font>
    <font>
      <sz val="6"/>
      <name val="Times New Roman"/>
      <family val="1"/>
      <charset val="204"/>
    </font>
    <font>
      <sz val="5"/>
      <name val="Times New Roman"/>
      <family val="1"/>
      <charset val="204"/>
    </font>
    <font>
      <u/>
      <sz val="10"/>
      <color theme="10"/>
      <name val="Calibri"/>
      <family val="2"/>
      <charset val="204"/>
      <scheme val="minor"/>
    </font>
    <font>
      <sz val="10"/>
      <color theme="1"/>
      <name val="Calibri"/>
      <family val="2"/>
      <charset val="204"/>
      <scheme val="minor"/>
    </font>
    <font>
      <sz val="14"/>
      <name val="Times New Roman"/>
      <family val="1"/>
      <charset val="204"/>
    </font>
    <font>
      <sz val="11"/>
      <color rgb="FFFF0000"/>
      <name val="Calibri"/>
      <family val="2"/>
      <charset val="204"/>
      <scheme val="minor"/>
    </font>
    <font>
      <sz val="8"/>
      <color rgb="FFFF0000"/>
      <name val="Times New Roman"/>
      <family val="1"/>
      <charset val="204"/>
    </font>
    <font>
      <sz val="8"/>
      <name val="Times New Roman"/>
      <family val="1"/>
      <charset val="204"/>
    </font>
    <font>
      <sz val="7"/>
      <name val="Times New Roman"/>
      <family val="1"/>
      <charset val="204"/>
    </font>
    <font>
      <sz val="9"/>
      <name val="Times New Roman"/>
      <family val="1"/>
      <charset val="204"/>
    </font>
    <font>
      <u/>
      <sz val="8"/>
      <color theme="10"/>
      <name val="Calibri"/>
      <family val="2"/>
      <charset val="204"/>
      <scheme val="minor"/>
    </font>
    <font>
      <u/>
      <sz val="11"/>
      <name val="Calibri"/>
      <family val="2"/>
      <charset val="204"/>
      <scheme val="minor"/>
    </font>
    <font>
      <sz val="6.8"/>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4" fillId="0" borderId="0" applyNumberFormat="0" applyFill="0" applyBorder="0" applyAlignment="0" applyProtection="0"/>
  </cellStyleXfs>
  <cellXfs count="343">
    <xf numFmtId="0" fontId="0" fillId="0" borderId="0" xfId="0"/>
    <xf numFmtId="0" fontId="6" fillId="0" borderId="0" xfId="0" applyFont="1"/>
    <xf numFmtId="4" fontId="0" fillId="0" borderId="0" xfId="0" applyNumberFormat="1"/>
    <xf numFmtId="164" fontId="0" fillId="0" borderId="0" xfId="0" applyNumberFormat="1"/>
    <xf numFmtId="165" fontId="0" fillId="0" borderId="0" xfId="0" applyNumberFormat="1"/>
    <xf numFmtId="0" fontId="2" fillId="0" borderId="0" xfId="0" applyFont="1" applyAlignment="1">
      <alignment horizontal="center" vertical="center" wrapText="1"/>
    </xf>
    <xf numFmtId="0" fontId="10" fillId="0" borderId="0" xfId="0" applyFont="1"/>
    <xf numFmtId="0" fontId="2" fillId="0" borderId="0" xfId="0" applyFont="1" applyAlignment="1">
      <alignment horizontal="right" vertical="center"/>
    </xf>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0" fontId="0" fillId="0" borderId="23" xfId="0" applyBorder="1" applyAlignment="1">
      <alignment vertical="top" wrapText="1"/>
    </xf>
    <xf numFmtId="0" fontId="3" fillId="0" borderId="23" xfId="0" applyFont="1" applyBorder="1" applyAlignment="1">
      <alignment horizontal="center" vertical="center" wrapText="1"/>
    </xf>
    <xf numFmtId="0" fontId="3" fillId="0" borderId="26" xfId="0" applyFont="1" applyBorder="1" applyAlignment="1">
      <alignment vertical="center" wrapText="1"/>
    </xf>
    <xf numFmtId="0" fontId="3" fillId="0" borderId="23" xfId="0" applyFont="1" applyBorder="1" applyAlignment="1">
      <alignment vertical="center" wrapText="1"/>
    </xf>
    <xf numFmtId="0" fontId="3" fillId="0" borderId="27" xfId="0" applyFont="1" applyBorder="1" applyAlignment="1">
      <alignment vertical="center" wrapText="1"/>
    </xf>
    <xf numFmtId="0" fontId="3" fillId="0" borderId="20" xfId="0" applyFont="1" applyBorder="1" applyAlignment="1">
      <alignment vertical="center" wrapText="1"/>
    </xf>
    <xf numFmtId="0" fontId="3" fillId="0" borderId="28" xfId="0" applyFont="1" applyBorder="1" applyAlignment="1">
      <alignment vertical="center" wrapText="1"/>
    </xf>
    <xf numFmtId="0" fontId="3" fillId="0" borderId="29" xfId="0" applyFont="1" applyBorder="1" applyAlignment="1">
      <alignment vertical="center" wrapText="1"/>
    </xf>
    <xf numFmtId="0" fontId="12" fillId="0" borderId="23" xfId="1" applyFont="1" applyBorder="1" applyAlignment="1">
      <alignment vertical="center" wrapText="1"/>
    </xf>
    <xf numFmtId="0" fontId="11" fillId="0" borderId="27" xfId="0" applyFont="1" applyBorder="1" applyAlignment="1">
      <alignment vertical="center" wrapText="1"/>
    </xf>
    <xf numFmtId="0" fontId="11" fillId="0" borderId="23" xfId="0" applyFont="1" applyBorder="1" applyAlignment="1">
      <alignment vertical="center" wrapText="1"/>
    </xf>
    <xf numFmtId="0" fontId="11" fillId="0" borderId="28" xfId="0" applyFont="1" applyBorder="1" applyAlignment="1">
      <alignment vertical="center" wrapText="1"/>
    </xf>
    <xf numFmtId="0" fontId="2" fillId="0" borderId="0" xfId="0" applyFont="1" applyAlignment="1">
      <alignment horizontal="justify" vertical="center"/>
    </xf>
    <xf numFmtId="0" fontId="3" fillId="0" borderId="25" xfId="0" applyFont="1" applyBorder="1" applyAlignment="1">
      <alignment vertical="center" wrapText="1"/>
    </xf>
    <xf numFmtId="0" fontId="4" fillId="0" borderId="23" xfId="1" applyBorder="1" applyAlignment="1">
      <alignment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20" fillId="0" borderId="0" xfId="0" applyFont="1"/>
    <xf numFmtId="0" fontId="8" fillId="0" borderId="0" xfId="0" applyFont="1" applyFill="1"/>
    <xf numFmtId="0" fontId="15" fillId="0" borderId="0" xfId="0" applyFont="1" applyFill="1"/>
    <xf numFmtId="166" fontId="3" fillId="0" borderId="28" xfId="0" applyNumberFormat="1" applyFont="1" applyBorder="1" applyAlignment="1">
      <alignment vertical="center" wrapText="1"/>
    </xf>
    <xf numFmtId="166" fontId="3" fillId="0" borderId="25" xfId="0" applyNumberFormat="1" applyFont="1" applyBorder="1" applyAlignment="1">
      <alignment vertical="center" wrapText="1"/>
    </xf>
    <xf numFmtId="166" fontId="3" fillId="0" borderId="29" xfId="0" applyNumberFormat="1" applyFont="1" applyBorder="1" applyAlignment="1">
      <alignment vertical="center" wrapText="1"/>
    </xf>
    <xf numFmtId="166" fontId="3" fillId="0" borderId="23" xfId="0" applyNumberFormat="1" applyFont="1" applyBorder="1" applyAlignment="1">
      <alignment vertical="center" wrapText="1"/>
    </xf>
    <xf numFmtId="166" fontId="3" fillId="0" borderId="28" xfId="0" applyNumberFormat="1" applyFont="1" applyBorder="1" applyAlignment="1">
      <alignment horizontal="right" vertical="center" wrapText="1"/>
    </xf>
    <xf numFmtId="166" fontId="11" fillId="0" borderId="23" xfId="0" applyNumberFormat="1" applyFont="1" applyBorder="1" applyAlignment="1">
      <alignment vertical="center" wrapText="1"/>
    </xf>
    <xf numFmtId="166" fontId="3" fillId="0" borderId="27" xfId="0" applyNumberFormat="1" applyFont="1" applyBorder="1" applyAlignment="1">
      <alignment vertical="center" wrapText="1"/>
    </xf>
    <xf numFmtId="166" fontId="13" fillId="0" borderId="28" xfId="0" applyNumberFormat="1" applyFont="1" applyBorder="1" applyAlignment="1">
      <alignment vertical="center" wrapText="1"/>
    </xf>
    <xf numFmtId="166" fontId="13" fillId="0" borderId="25" xfId="0" applyNumberFormat="1" applyFont="1" applyBorder="1" applyAlignment="1">
      <alignment vertical="center" wrapText="1"/>
    </xf>
    <xf numFmtId="166" fontId="3" fillId="0" borderId="24" xfId="0" applyNumberFormat="1" applyFont="1" applyBorder="1" applyAlignment="1">
      <alignment vertical="center" wrapText="1"/>
    </xf>
    <xf numFmtId="166" fontId="3" fillId="0" borderId="22" xfId="0" applyNumberFormat="1" applyFont="1" applyBorder="1" applyAlignment="1">
      <alignment vertical="center" wrapText="1"/>
    </xf>
    <xf numFmtId="166" fontId="13" fillId="0" borderId="27" xfId="0" applyNumberFormat="1" applyFont="1" applyBorder="1" applyAlignment="1">
      <alignment vertical="center" wrapText="1"/>
    </xf>
    <xf numFmtId="166" fontId="13" fillId="0" borderId="29" xfId="0" applyNumberFormat="1" applyFont="1" applyBorder="1" applyAlignment="1">
      <alignment vertical="center" wrapText="1"/>
    </xf>
    <xf numFmtId="166" fontId="11" fillId="0" borderId="28" xfId="0" applyNumberFormat="1" applyFont="1" applyBorder="1" applyAlignment="1">
      <alignment vertical="center" wrapText="1"/>
    </xf>
    <xf numFmtId="166" fontId="11" fillId="0" borderId="25" xfId="0" applyNumberFormat="1" applyFont="1" applyBorder="1" applyAlignment="1">
      <alignment vertical="center" wrapText="1"/>
    </xf>
    <xf numFmtId="166" fontId="3" fillId="0" borderId="28" xfId="0" applyNumberFormat="1" applyFont="1" applyBorder="1" applyAlignment="1">
      <alignment horizontal="center" vertical="center" wrapText="1"/>
    </xf>
    <xf numFmtId="166" fontId="8" fillId="0" borderId="1" xfId="0" applyNumberFormat="1" applyFont="1" applyFill="1" applyBorder="1" applyAlignment="1">
      <alignment horizontal="center"/>
    </xf>
    <xf numFmtId="0" fontId="1" fillId="0" borderId="0" xfId="0" applyFont="1" applyAlignment="1">
      <alignment horizontal="right" vertical="center" wrapText="1"/>
    </xf>
    <xf numFmtId="0" fontId="3" fillId="0" borderId="23" xfId="0" applyFont="1" applyBorder="1" applyAlignment="1">
      <alignment horizontal="center" vertical="center" wrapText="1"/>
    </xf>
    <xf numFmtId="0" fontId="1" fillId="0" borderId="0" xfId="0" applyFont="1" applyAlignment="1">
      <alignment horizontal="right" vertical="center" wrapText="1"/>
    </xf>
    <xf numFmtId="167" fontId="8" fillId="0" borderId="1" xfId="0" applyNumberFormat="1" applyFont="1" applyFill="1" applyBorder="1" applyAlignment="1">
      <alignment horizontal="center"/>
    </xf>
    <xf numFmtId="165" fontId="15" fillId="0" borderId="0" xfId="0" applyNumberFormat="1" applyFont="1" applyFill="1"/>
    <xf numFmtId="0" fontId="8" fillId="0" borderId="0" xfId="0" applyFont="1" applyFill="1" applyAlignment="1">
      <alignment vertical="center"/>
    </xf>
    <xf numFmtId="165" fontId="15" fillId="0" borderId="0" xfId="0" applyNumberFormat="1" applyFont="1" applyFill="1" applyAlignment="1">
      <alignment vertical="center"/>
    </xf>
    <xf numFmtId="166" fontId="8" fillId="0" borderId="1" xfId="0" applyNumberFormat="1" applyFont="1" applyFill="1" applyBorder="1"/>
    <xf numFmtId="166" fontId="8" fillId="0" borderId="7" xfId="0" applyNumberFormat="1" applyFont="1" applyFill="1" applyBorder="1"/>
    <xf numFmtId="168" fontId="8" fillId="0" borderId="1" xfId="0" applyNumberFormat="1" applyFont="1" applyFill="1" applyBorder="1" applyAlignment="1">
      <alignment horizontal="center"/>
    </xf>
    <xf numFmtId="0" fontId="24" fillId="0" borderId="1" xfId="0" applyFont="1" applyFill="1" applyBorder="1" applyAlignment="1">
      <alignment horizontal="center" vertical="center" wrapText="1"/>
    </xf>
    <xf numFmtId="0" fontId="8" fillId="0" borderId="1" xfId="0" applyFont="1" applyFill="1" applyBorder="1" applyAlignment="1">
      <alignment horizontal="center" vertical="center" shrinkToFit="1"/>
    </xf>
    <xf numFmtId="0" fontId="8" fillId="0" borderId="0" xfId="0" applyFont="1" applyFill="1" applyAlignment="1">
      <alignment wrapText="1"/>
    </xf>
    <xf numFmtId="0" fontId="15" fillId="0" borderId="0" xfId="0" applyFont="1" applyFill="1" applyAlignment="1">
      <alignment vertical="center"/>
    </xf>
    <xf numFmtId="0" fontId="8" fillId="0" borderId="1" xfId="0" applyFont="1" applyFill="1" applyBorder="1"/>
    <xf numFmtId="0" fontId="15" fillId="0" borderId="0" xfId="0" applyFont="1" applyFill="1" applyAlignment="1">
      <alignment wrapText="1"/>
    </xf>
    <xf numFmtId="0" fontId="1" fillId="0" borderId="0" xfId="0" applyFont="1" applyFill="1"/>
    <xf numFmtId="0" fontId="0" fillId="0" borderId="0" xfId="0" applyFill="1"/>
    <xf numFmtId="0" fontId="5" fillId="0" borderId="0" xfId="0" applyFont="1" applyFill="1"/>
    <xf numFmtId="166" fontId="8" fillId="0" borderId="1" xfId="0" applyNumberFormat="1" applyFont="1" applyFill="1" applyBorder="1" applyAlignment="1">
      <alignment vertical="top"/>
    </xf>
    <xf numFmtId="166" fontId="8" fillId="0" borderId="1" xfId="0" applyNumberFormat="1" applyFont="1" applyFill="1" applyBorder="1" applyAlignment="1">
      <alignment horizontal="center" vertical="top"/>
    </xf>
    <xf numFmtId="0" fontId="17" fillId="0" borderId="3" xfId="0" applyFont="1" applyFill="1" applyBorder="1" applyAlignment="1">
      <alignment horizontal="center" vertical="top" wrapText="1"/>
    </xf>
    <xf numFmtId="0" fontId="8" fillId="0" borderId="2" xfId="0" applyFont="1" applyFill="1" applyBorder="1" applyAlignment="1"/>
    <xf numFmtId="0" fontId="8" fillId="0" borderId="4" xfId="0" applyFont="1" applyFill="1" applyBorder="1" applyAlignment="1"/>
    <xf numFmtId="0" fontId="17" fillId="0" borderId="1" xfId="0" applyFont="1" applyFill="1" applyBorder="1" applyAlignment="1">
      <alignment horizontal="center" vertical="top" wrapText="1"/>
    </xf>
    <xf numFmtId="166" fontId="8" fillId="0" borderId="5" xfId="0" applyNumberFormat="1" applyFont="1" applyFill="1" applyBorder="1" applyAlignment="1">
      <alignment horizontal="center"/>
    </xf>
    <xf numFmtId="0" fontId="1" fillId="0" borderId="1" xfId="0" applyFont="1" applyFill="1" applyBorder="1"/>
    <xf numFmtId="0" fontId="5" fillId="0" borderId="1" xfId="0" applyFont="1" applyFill="1" applyBorder="1" applyAlignment="1">
      <alignment horizontal="center"/>
    </xf>
    <xf numFmtId="0" fontId="7" fillId="0" borderId="0" xfId="0" applyFont="1" applyFill="1" applyAlignment="1">
      <alignment horizontal="center" vertical="top"/>
    </xf>
    <xf numFmtId="0" fontId="7" fillId="0" borderId="0" xfId="0" applyFont="1" applyFill="1" applyAlignment="1">
      <alignment vertical="top"/>
    </xf>
    <xf numFmtId="0" fontId="23" fillId="0" borderId="0" xfId="0" applyFont="1" applyFill="1" applyAlignment="1">
      <alignment vertical="top"/>
    </xf>
    <xf numFmtId="0" fontId="7" fillId="0" borderId="0" xfId="0" applyFont="1" applyFill="1"/>
    <xf numFmtId="0" fontId="23" fillId="0" borderId="0" xfId="0" applyFont="1" applyFill="1"/>
    <xf numFmtId="0" fontId="22" fillId="0" borderId="0" xfId="0" applyFont="1" applyFill="1"/>
    <xf numFmtId="0" fontId="2" fillId="0" borderId="0" xfId="0" applyFont="1" applyFill="1" applyAlignment="1">
      <alignment horizontal="center" vertical="center"/>
    </xf>
    <xf numFmtId="0" fontId="21" fillId="0" borderId="0" xfId="0" applyFont="1" applyFill="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3" xfId="1" applyFill="1" applyBorder="1" applyAlignment="1">
      <alignment horizontal="center" vertical="center" wrapText="1"/>
    </xf>
    <xf numFmtId="0" fontId="0" fillId="0" borderId="3" xfId="0" applyFill="1" applyBorder="1" applyAlignment="1">
      <alignment vertical="top" wrapText="1"/>
    </xf>
    <xf numFmtId="0" fontId="3" fillId="0" borderId="0" xfId="0" applyFont="1" applyFill="1" applyBorder="1" applyAlignment="1">
      <alignment horizontal="center" vertical="center" wrapText="1"/>
    </xf>
    <xf numFmtId="0" fontId="0" fillId="0" borderId="4" xfId="0" applyFill="1" applyBorder="1" applyAlignment="1">
      <alignmen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166" fontId="3" fillId="0" borderId="1" xfId="0" applyNumberFormat="1" applyFont="1" applyFill="1" applyBorder="1" applyAlignment="1">
      <alignment horizontal="center" vertical="center" wrapText="1"/>
    </xf>
    <xf numFmtId="166" fontId="13"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3" fillId="0" borderId="0" xfId="0" applyFont="1" applyFill="1" applyBorder="1" applyAlignment="1">
      <alignment vertical="center" wrapText="1"/>
    </xf>
    <xf numFmtId="3" fontId="3" fillId="0" borderId="0" xfId="0" applyNumberFormat="1" applyFont="1" applyFill="1" applyBorder="1" applyAlignment="1">
      <alignment horizontal="center" vertical="center" wrapText="1"/>
    </xf>
    <xf numFmtId="3" fontId="13" fillId="0" borderId="0" xfId="0" applyNumberFormat="1" applyFont="1" applyFill="1" applyBorder="1" applyAlignment="1">
      <alignment horizontal="center" vertical="center" wrapText="1"/>
    </xf>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3" xfId="0" applyFont="1" applyBorder="1" applyAlignment="1">
      <alignment horizontal="center" vertical="center" wrapText="1"/>
    </xf>
    <xf numFmtId="167" fontId="8" fillId="0" borderId="0" xfId="0" applyNumberFormat="1" applyFont="1" applyFill="1"/>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5" xfId="0" applyFont="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Alignment="1">
      <alignment horizontal="center"/>
    </xf>
    <xf numFmtId="0" fontId="17" fillId="0" borderId="1" xfId="0" applyFont="1" applyFill="1" applyBorder="1" applyAlignment="1">
      <alignment horizontal="center" vertical="center" wrapText="1"/>
    </xf>
    <xf numFmtId="0" fontId="8" fillId="0" borderId="2" xfId="0" applyFont="1" applyFill="1" applyBorder="1" applyAlignment="1">
      <alignment horizontal="center"/>
    </xf>
    <xf numFmtId="0" fontId="8" fillId="0" borderId="1" xfId="0" applyFont="1" applyFill="1" applyBorder="1" applyAlignment="1">
      <alignment horizontal="center"/>
    </xf>
    <xf numFmtId="0" fontId="1" fillId="0" borderId="1" xfId="0" applyFont="1" applyFill="1" applyBorder="1" applyAlignment="1">
      <alignment horizontal="left"/>
    </xf>
    <xf numFmtId="0" fontId="1" fillId="0" borderId="0" xfId="0" applyFont="1" applyFill="1" applyAlignment="1">
      <alignment horizontal="center"/>
    </xf>
    <xf numFmtId="0" fontId="7" fillId="0" borderId="0" xfId="0" applyFont="1" applyFill="1" applyAlignment="1">
      <alignment horizontal="center"/>
    </xf>
    <xf numFmtId="0" fontId="1" fillId="0" borderId="1" xfId="0" applyFont="1" applyFill="1" applyBorder="1" applyAlignment="1">
      <alignment horizontal="center"/>
    </xf>
    <xf numFmtId="0" fontId="8" fillId="0" borderId="0" xfId="0" applyFont="1" applyFill="1" applyAlignment="1">
      <alignment horizontal="right" wrapText="1"/>
    </xf>
    <xf numFmtId="166" fontId="0" fillId="0" borderId="0" xfId="0" applyNumberFormat="1"/>
    <xf numFmtId="0" fontId="8" fillId="0" borderId="1" xfId="0" applyFont="1" applyFill="1" applyBorder="1" applyAlignment="1">
      <alignment horizontal="center" vertical="top"/>
    </xf>
    <xf numFmtId="0" fontId="8" fillId="0" borderId="0" xfId="0" applyFont="1" applyFill="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3" xfId="0" applyFont="1" applyBorder="1" applyAlignment="1">
      <alignment horizontal="center" vertical="center" wrapText="1"/>
    </xf>
    <xf numFmtId="0" fontId="8" fillId="0" borderId="1" xfId="0" applyFont="1" applyFill="1" applyBorder="1" applyAlignment="1">
      <alignment horizontal="center"/>
    </xf>
    <xf numFmtId="4" fontId="3" fillId="0" borderId="17" xfId="0" applyNumberFormat="1" applyFont="1" applyBorder="1" applyAlignment="1">
      <alignment horizontal="center" vertical="center" wrapText="1"/>
    </xf>
    <xf numFmtId="4" fontId="3" fillId="0" borderId="20" xfId="0" applyNumberFormat="1" applyFont="1" applyBorder="1" applyAlignment="1">
      <alignment horizontal="center" vertical="center" wrapText="1"/>
    </xf>
    <xf numFmtId="4" fontId="0" fillId="0" borderId="23" xfId="0" applyNumberFormat="1" applyBorder="1" applyAlignment="1">
      <alignment vertical="top" wrapText="1"/>
    </xf>
    <xf numFmtId="4" fontId="3" fillId="0" borderId="23" xfId="0" applyNumberFormat="1" applyFont="1" applyBorder="1" applyAlignment="1">
      <alignment horizontal="center" vertical="center" wrapText="1"/>
    </xf>
    <xf numFmtId="49" fontId="3" fillId="0" borderId="23" xfId="0" applyNumberFormat="1" applyFont="1" applyBorder="1" applyAlignment="1">
      <alignment horizontal="center" vertical="center" wrapText="1"/>
    </xf>
    <xf numFmtId="0" fontId="13" fillId="0" borderId="28" xfId="0" applyFont="1" applyBorder="1" applyAlignment="1">
      <alignment vertical="center" wrapText="1"/>
    </xf>
    <xf numFmtId="0" fontId="28" fillId="0" borderId="23" xfId="1" applyFont="1" applyBorder="1" applyAlignment="1">
      <alignment vertical="center" wrapText="1"/>
    </xf>
    <xf numFmtId="166" fontId="13" fillId="0" borderId="23" xfId="0" applyNumberFormat="1" applyFont="1" applyBorder="1" applyAlignment="1">
      <alignment vertical="center" wrapText="1"/>
    </xf>
    <xf numFmtId="0" fontId="15" fillId="0" borderId="0" xfId="0" applyFont="1"/>
    <xf numFmtId="166" fontId="8" fillId="0" borderId="1" xfId="0" applyNumberFormat="1" applyFont="1" applyFill="1" applyBorder="1" applyAlignment="1">
      <alignment vertical="center"/>
    </xf>
    <xf numFmtId="166" fontId="8" fillId="0" borderId="1" xfId="0" applyNumberFormat="1" applyFont="1" applyFill="1" applyBorder="1" applyAlignment="1">
      <alignment horizontal="center" vertical="center"/>
    </xf>
    <xf numFmtId="0" fontId="13" fillId="0" borderId="27" xfId="0" applyFont="1" applyBorder="1" applyAlignment="1">
      <alignment vertical="center" wrapText="1"/>
    </xf>
    <xf numFmtId="0" fontId="13" fillId="0" borderId="23" xfId="0" applyFont="1" applyBorder="1" applyAlignment="1">
      <alignment vertical="center" wrapText="1"/>
    </xf>
    <xf numFmtId="0" fontId="8" fillId="0" borderId="1" xfId="0" applyFont="1" applyFill="1" applyBorder="1" applyAlignment="1">
      <alignment horizontal="center" vertical="top"/>
    </xf>
    <xf numFmtId="0" fontId="8" fillId="0" borderId="0" xfId="0" applyFont="1" applyFill="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center"/>
    </xf>
    <xf numFmtId="0" fontId="24" fillId="0" borderId="1" xfId="0" applyFont="1" applyFill="1" applyBorder="1" applyAlignment="1">
      <alignment vertical="center" wrapText="1"/>
    </xf>
    <xf numFmtId="0" fontId="24" fillId="0" borderId="4" xfId="0" applyFont="1" applyFill="1" applyBorder="1" applyAlignment="1">
      <alignment vertical="center" wrapText="1"/>
    </xf>
    <xf numFmtId="0" fontId="8" fillId="0" borderId="1" xfId="0" applyFont="1" applyFill="1" applyBorder="1" applyAlignment="1">
      <alignment horizontal="center" vertical="top"/>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left"/>
    </xf>
    <xf numFmtId="0" fontId="8" fillId="0" borderId="1" xfId="0" applyFont="1" applyFill="1" applyBorder="1" applyAlignment="1">
      <alignment horizontal="center"/>
    </xf>
    <xf numFmtId="0" fontId="26" fillId="0" borderId="2" xfId="0" applyFont="1" applyFill="1" applyBorder="1" applyAlignment="1">
      <alignment horizontal="center" vertical="top" wrapText="1"/>
    </xf>
    <xf numFmtId="0" fontId="26" fillId="0" borderId="3" xfId="0" applyFont="1" applyFill="1" applyBorder="1" applyAlignment="1">
      <alignment horizontal="center" vertical="top" wrapText="1"/>
    </xf>
    <xf numFmtId="0" fontId="26" fillId="0" borderId="4" xfId="0" applyFont="1" applyFill="1" applyBorder="1" applyAlignment="1">
      <alignment horizontal="center" vertical="top" wrapText="1"/>
    </xf>
    <xf numFmtId="166" fontId="8" fillId="0" borderId="5" xfId="0" applyNumberFormat="1" applyFont="1" applyFill="1" applyBorder="1" applyAlignment="1">
      <alignment horizontal="left"/>
    </xf>
    <xf numFmtId="166" fontId="8" fillId="0" borderId="6" xfId="0" applyNumberFormat="1" applyFont="1" applyFill="1" applyBorder="1" applyAlignment="1">
      <alignment horizontal="left"/>
    </xf>
    <xf numFmtId="166" fontId="8" fillId="0" borderId="7" xfId="0" applyNumberFormat="1" applyFont="1" applyFill="1" applyBorder="1" applyAlignment="1">
      <alignment horizontal="left"/>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wrapText="1"/>
    </xf>
    <xf numFmtId="0" fontId="8" fillId="0" borderId="3" xfId="0" applyFont="1" applyFill="1" applyBorder="1" applyAlignment="1">
      <alignment horizontal="center" wrapText="1"/>
    </xf>
    <xf numFmtId="0" fontId="8" fillId="0" borderId="4" xfId="0" applyFont="1" applyFill="1" applyBorder="1" applyAlignment="1">
      <alignment horizont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center" vertical="top"/>
    </xf>
    <xf numFmtId="0" fontId="8" fillId="0" borderId="3" xfId="0" applyFont="1" applyFill="1" applyBorder="1" applyAlignment="1">
      <alignment horizontal="center" vertical="top"/>
    </xf>
    <xf numFmtId="0" fontId="8" fillId="0" borderId="4" xfId="0" applyFont="1" applyFill="1" applyBorder="1" applyAlignment="1">
      <alignment horizontal="center" vertical="top"/>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5" fillId="0" borderId="1" xfId="0" applyFont="1" applyFill="1" applyBorder="1" applyAlignment="1">
      <alignment horizontal="center" vertical="center" wrapText="1"/>
    </xf>
    <xf numFmtId="0" fontId="24" fillId="0" borderId="2" xfId="0" applyFont="1" applyFill="1" applyBorder="1" applyAlignment="1">
      <alignment horizontal="center" vertical="top" wrapText="1"/>
    </xf>
    <xf numFmtId="0" fontId="24" fillId="0" borderId="3" xfId="0" applyFont="1" applyFill="1" applyBorder="1" applyAlignment="1">
      <alignment horizontal="center" vertical="top" wrapText="1"/>
    </xf>
    <xf numFmtId="0" fontId="24" fillId="0" borderId="4" xfId="0" applyFont="1" applyFill="1" applyBorder="1" applyAlignment="1">
      <alignment horizontal="center" vertical="top"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4" fillId="0" borderId="2" xfId="0" applyFont="1" applyFill="1" applyBorder="1" applyAlignment="1">
      <alignment horizontal="center" wrapText="1"/>
    </xf>
    <xf numFmtId="0" fontId="24" fillId="0" borderId="3" xfId="0" applyFont="1" applyFill="1" applyBorder="1" applyAlignment="1">
      <alignment horizontal="center" wrapText="1"/>
    </xf>
    <xf numFmtId="0" fontId="24" fillId="0" borderId="4" xfId="0" applyFont="1" applyFill="1" applyBorder="1" applyAlignment="1">
      <alignment horizontal="center" wrapText="1"/>
    </xf>
    <xf numFmtId="0" fontId="9" fillId="0" borderId="1" xfId="0" applyFont="1" applyFill="1" applyBorder="1" applyAlignment="1">
      <alignment horizontal="left"/>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8" fillId="0" borderId="1" xfId="0" applyFont="1" applyFill="1" applyBorder="1" applyAlignment="1">
      <alignment horizontal="center" vertical="top"/>
    </xf>
    <xf numFmtId="0" fontId="8" fillId="0" borderId="1" xfId="0" applyFont="1" applyFill="1" applyBorder="1" applyAlignment="1">
      <alignment horizontal="left"/>
    </xf>
    <xf numFmtId="16" fontId="8" fillId="0" borderId="2" xfId="0" applyNumberFormat="1" applyFont="1" applyFill="1" applyBorder="1" applyAlignment="1">
      <alignment horizontal="center" vertical="top"/>
    </xf>
    <xf numFmtId="0" fontId="14" fillId="0" borderId="0" xfId="0" applyFont="1" applyFill="1" applyAlignment="1">
      <alignment horizontal="right"/>
    </xf>
    <xf numFmtId="0" fontId="8" fillId="0" borderId="0" xfId="0" applyFont="1" applyFill="1" applyAlignment="1">
      <alignment horizontal="center"/>
    </xf>
    <xf numFmtId="0" fontId="8" fillId="0" borderId="5" xfId="0" applyFont="1" applyFill="1" applyBorder="1" applyAlignment="1">
      <alignment horizontal="left"/>
    </xf>
    <xf numFmtId="0" fontId="0" fillId="0" borderId="6" xfId="0" applyFill="1" applyBorder="1" applyAlignment="1">
      <alignment horizontal="left"/>
    </xf>
    <xf numFmtId="0" fontId="0" fillId="0" borderId="7" xfId="0" applyFill="1" applyBorder="1" applyAlignment="1">
      <alignment horizontal="left"/>
    </xf>
    <xf numFmtId="0" fontId="17"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8" fillId="0" borderId="0" xfId="0" applyFont="1" applyFill="1" applyAlignment="1">
      <alignment horizontal="right"/>
    </xf>
    <xf numFmtId="0" fontId="15" fillId="0" borderId="0" xfId="0" applyFont="1" applyFill="1" applyAlignment="1">
      <alignment horizontal="right"/>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8" fillId="0" borderId="2" xfId="0" applyFont="1" applyFill="1" applyBorder="1" applyAlignment="1">
      <alignment horizontal="center"/>
    </xf>
    <xf numFmtId="0" fontId="8" fillId="0" borderId="3" xfId="0" applyFont="1" applyFill="1" applyBorder="1" applyAlignment="1">
      <alignment horizontal="center"/>
    </xf>
    <xf numFmtId="0" fontId="8" fillId="0" borderId="4" xfId="0" applyFont="1" applyFill="1" applyBorder="1" applyAlignment="1">
      <alignment horizontal="center"/>
    </xf>
    <xf numFmtId="0" fontId="9" fillId="0" borderId="5" xfId="0" applyFont="1" applyFill="1" applyBorder="1" applyAlignment="1">
      <alignment horizontal="left" shrinkToFit="1"/>
    </xf>
    <xf numFmtId="0" fontId="0" fillId="0" borderId="6" xfId="0" applyFill="1" applyBorder="1" applyAlignment="1">
      <alignment horizontal="left" shrinkToFit="1"/>
    </xf>
    <xf numFmtId="0" fontId="0" fillId="0" borderId="7" xfId="0" applyFill="1" applyBorder="1" applyAlignment="1">
      <alignment horizontal="left" shrinkToFit="1"/>
    </xf>
    <xf numFmtId="0" fontId="8" fillId="0" borderId="1" xfId="0" applyFont="1" applyFill="1" applyBorder="1" applyAlignment="1">
      <alignment horizontal="center" vertical="top" wrapText="1"/>
    </xf>
    <xf numFmtId="0" fontId="9" fillId="0" borderId="0" xfId="0" applyFont="1" applyAlignment="1">
      <alignment horizontal="right"/>
    </xf>
    <xf numFmtId="0" fontId="9" fillId="0" borderId="0" xfId="0" applyFont="1" applyAlignment="1">
      <alignment horizontal="right" vertical="center" wrapText="1"/>
    </xf>
    <xf numFmtId="0" fontId="2" fillId="0" borderId="0" xfId="0" applyFont="1" applyAlignment="1">
      <alignment horizontal="right" vertical="center" wrapText="1"/>
    </xf>
    <xf numFmtId="0" fontId="4" fillId="0" borderId="0" xfId="1" applyAlignment="1">
      <alignment horizontal="righ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2" xfId="0" applyFont="1" applyBorder="1" applyAlignment="1">
      <alignment horizontal="center" vertical="center" wrapText="1"/>
    </xf>
    <xf numFmtId="0" fontId="2" fillId="0" borderId="22" xfId="0" applyFont="1" applyBorder="1" applyAlignment="1">
      <alignment horizontal="right" vertical="center"/>
    </xf>
    <xf numFmtId="0" fontId="0" fillId="0" borderId="22" xfId="0" applyBorder="1" applyAlignment="1"/>
    <xf numFmtId="0" fontId="2" fillId="0" borderId="0" xfId="0" applyFont="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4" xfId="0" applyFont="1" applyBorder="1" applyAlignment="1">
      <alignment vertical="center" wrapText="1"/>
    </xf>
    <xf numFmtId="0" fontId="3" fillId="0" borderId="25" xfId="0" applyFont="1" applyBorder="1" applyAlignment="1">
      <alignment vertical="center" wrapText="1"/>
    </xf>
    <xf numFmtId="0" fontId="4" fillId="0" borderId="0" xfId="1" applyAlignment="1">
      <alignment horizontal="left" vertical="center"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14" fontId="8" fillId="0" borderId="2" xfId="0" applyNumberFormat="1" applyFont="1" applyFill="1" applyBorder="1" applyAlignment="1">
      <alignment horizontal="center" vertical="top"/>
    </xf>
    <xf numFmtId="0" fontId="0" fillId="0" borderId="0" xfId="0" applyFill="1" applyAlignment="1">
      <alignment horizontal="right"/>
    </xf>
    <xf numFmtId="0" fontId="8" fillId="0" borderId="1" xfId="0" applyFont="1" applyFill="1" applyBorder="1" applyAlignment="1">
      <alignment horizontal="center"/>
    </xf>
    <xf numFmtId="0" fontId="8" fillId="0" borderId="0" xfId="0" applyFont="1" applyFill="1" applyAlignment="1">
      <alignment horizontal="left" wrapText="1"/>
    </xf>
    <xf numFmtId="0" fontId="8" fillId="0" borderId="0" xfId="0" applyFont="1" applyFill="1" applyAlignment="1">
      <alignment horizontal="left"/>
    </xf>
    <xf numFmtId="0" fontId="14" fillId="0" borderId="0" xfId="0" applyFont="1" applyAlignment="1">
      <alignment horizontal="right"/>
    </xf>
    <xf numFmtId="0" fontId="27" fillId="0" borderId="0" xfId="1" applyFont="1" applyAlignment="1">
      <alignment horizontal="left" vertical="center" wrapText="1"/>
    </xf>
    <xf numFmtId="0" fontId="11" fillId="0" borderId="24" xfId="0" applyFont="1" applyBorder="1" applyAlignment="1">
      <alignment vertical="center" wrapText="1"/>
    </xf>
    <xf numFmtId="0" fontId="11" fillId="0" borderId="25" xfId="0" applyFont="1" applyBorder="1" applyAlignment="1">
      <alignmen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166" fontId="8" fillId="0" borderId="5" xfId="0" applyNumberFormat="1" applyFont="1" applyFill="1" applyBorder="1" applyAlignment="1">
      <alignment horizontal="left" vertical="center"/>
    </xf>
    <xf numFmtId="166" fontId="8" fillId="0" borderId="6" xfId="0" applyNumberFormat="1" applyFont="1" applyFill="1" applyBorder="1" applyAlignment="1">
      <alignment horizontal="left" vertical="center"/>
    </xf>
    <xf numFmtId="166" fontId="8" fillId="0" borderId="7" xfId="0" applyNumberFormat="1" applyFont="1" applyFill="1" applyBorder="1" applyAlignment="1">
      <alignment horizontal="left" vertical="center"/>
    </xf>
    <xf numFmtId="0" fontId="17" fillId="0" borderId="2" xfId="0" applyFont="1" applyFill="1" applyBorder="1" applyAlignment="1">
      <alignment horizontal="center" wrapText="1"/>
    </xf>
    <xf numFmtId="0" fontId="17" fillId="0" borderId="3" xfId="0" applyFont="1" applyFill="1" applyBorder="1" applyAlignment="1">
      <alignment horizontal="center" wrapText="1"/>
    </xf>
    <xf numFmtId="0" fontId="17" fillId="0" borderId="4" xfId="0" applyFont="1" applyFill="1" applyBorder="1" applyAlignment="1">
      <alignment horizontal="center" wrapText="1"/>
    </xf>
    <xf numFmtId="0" fontId="25" fillId="0" borderId="2" xfId="0" applyFont="1" applyFill="1" applyBorder="1" applyAlignment="1">
      <alignment horizontal="center" wrapText="1"/>
    </xf>
    <xf numFmtId="0" fontId="25" fillId="0" borderId="3" xfId="0" applyFont="1" applyFill="1" applyBorder="1" applyAlignment="1">
      <alignment horizontal="center" wrapText="1"/>
    </xf>
    <xf numFmtId="0" fontId="25" fillId="0" borderId="4" xfId="0" applyFont="1" applyFill="1" applyBorder="1" applyAlignment="1">
      <alignment horizontal="center" wrapText="1"/>
    </xf>
    <xf numFmtId="0" fontId="8" fillId="0" borderId="5" xfId="0" applyFont="1" applyFill="1" applyBorder="1" applyAlignment="1">
      <alignment horizontal="left" wrapText="1"/>
    </xf>
    <xf numFmtId="0" fontId="8" fillId="0" borderId="6" xfId="0" applyFont="1" applyFill="1" applyBorder="1" applyAlignment="1">
      <alignment horizontal="left" wrapText="1"/>
    </xf>
    <xf numFmtId="0" fontId="8" fillId="0" borderId="7" xfId="0" applyFont="1" applyFill="1" applyBorder="1" applyAlignment="1">
      <alignment horizontal="left"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8" fillId="0" borderId="0" xfId="0" applyFont="1" applyAlignment="1">
      <alignment horizontal="right"/>
    </xf>
    <xf numFmtId="0" fontId="1" fillId="0" borderId="0" xfId="0" applyFont="1" applyAlignment="1">
      <alignment horizontal="right" vertical="center" wrapText="1"/>
    </xf>
    <xf numFmtId="4" fontId="3" fillId="0" borderId="16" xfId="0" applyNumberFormat="1" applyFont="1" applyBorder="1" applyAlignment="1">
      <alignment horizontal="center" vertical="center" wrapText="1"/>
    </xf>
    <xf numFmtId="4" fontId="3" fillId="0" borderId="18" xfId="0" applyNumberFormat="1" applyFont="1" applyBorder="1" applyAlignment="1">
      <alignment horizontal="center" vertical="center" wrapText="1"/>
    </xf>
    <xf numFmtId="4" fontId="3" fillId="0" borderId="17" xfId="0" applyNumberFormat="1" applyFont="1" applyBorder="1" applyAlignment="1">
      <alignment horizontal="center" vertical="center" wrapText="1"/>
    </xf>
    <xf numFmtId="4" fontId="3" fillId="0" borderId="21" xfId="0" applyNumberFormat="1" applyFont="1" applyBorder="1" applyAlignment="1">
      <alignment horizontal="center" vertical="center" wrapText="1"/>
    </xf>
    <xf numFmtId="4" fontId="3" fillId="0" borderId="22"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0" fontId="1" fillId="0" borderId="1" xfId="0" applyFont="1" applyFill="1" applyBorder="1" applyAlignment="1">
      <alignment horizontal="left"/>
    </xf>
    <xf numFmtId="0" fontId="1" fillId="0" borderId="0" xfId="0" applyFont="1" applyFill="1" applyAlignment="1">
      <alignment horizontal="center"/>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7" fillId="0" borderId="0" xfId="0" applyFont="1" applyFill="1" applyAlignment="1">
      <alignment horizontal="center"/>
    </xf>
    <xf numFmtId="0" fontId="7" fillId="0" borderId="0" xfId="0" applyFont="1" applyFill="1" applyAlignment="1">
      <alignment horizontal="left" vertical="top" wrapText="1"/>
    </xf>
    <xf numFmtId="0" fontId="7" fillId="0" borderId="0" xfId="0" applyFont="1" applyFill="1" applyAlignment="1">
      <alignment horizontal="left"/>
    </xf>
    <xf numFmtId="0" fontId="1" fillId="0" borderId="4" xfId="0" applyFont="1" applyFill="1" applyBorder="1" applyAlignment="1">
      <alignment horizontal="left"/>
    </xf>
    <xf numFmtId="0" fontId="1" fillId="0" borderId="1" xfId="0" applyFont="1" applyFill="1" applyBorder="1" applyAlignment="1">
      <alignment horizontal="center" vertical="top" wrapText="1"/>
    </xf>
    <xf numFmtId="0" fontId="1" fillId="0" borderId="1" xfId="0" applyFont="1" applyFill="1" applyBorder="1" applyAlignment="1">
      <alignment horizontal="center"/>
    </xf>
    <xf numFmtId="0" fontId="1" fillId="0" borderId="5" xfId="0" applyFont="1" applyFill="1" applyBorder="1" applyAlignment="1">
      <alignment horizontal="left"/>
    </xf>
    <xf numFmtId="0" fontId="1" fillId="0" borderId="6" xfId="0" applyFont="1" applyFill="1" applyBorder="1" applyAlignment="1">
      <alignment horizontal="left"/>
    </xf>
    <xf numFmtId="0" fontId="1" fillId="0" borderId="7" xfId="0" applyFont="1" applyFill="1" applyBorder="1" applyAlignment="1">
      <alignment horizontal="left"/>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xf>
    <xf numFmtId="0" fontId="1" fillId="0" borderId="3" xfId="0" applyFont="1" applyFill="1" applyBorder="1" applyAlignment="1">
      <alignment horizontal="center" vertical="top"/>
    </xf>
    <xf numFmtId="0" fontId="1" fillId="0" borderId="4" xfId="0" applyFont="1" applyFill="1" applyBorder="1" applyAlignment="1">
      <alignment horizontal="center" vertical="top"/>
    </xf>
    <xf numFmtId="0" fontId="1" fillId="0" borderId="2" xfId="0" applyFont="1" applyFill="1" applyBorder="1" applyAlignment="1">
      <alignment horizontal="center" wrapText="1"/>
    </xf>
    <xf numFmtId="0" fontId="1" fillId="0" borderId="3" xfId="0" applyFont="1" applyFill="1" applyBorder="1" applyAlignment="1">
      <alignment horizontal="center" wrapText="1"/>
    </xf>
    <xf numFmtId="0" fontId="1" fillId="0" borderId="4" xfId="0" applyFont="1" applyFill="1" applyBorder="1" applyAlignment="1">
      <alignment horizontal="center" wrapText="1"/>
    </xf>
    <xf numFmtId="0" fontId="1" fillId="0" borderId="2" xfId="0" applyFont="1" applyFill="1" applyBorder="1" applyAlignment="1">
      <alignment horizontal="center"/>
    </xf>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0" borderId="1" xfId="0" applyFont="1" applyFill="1" applyBorder="1" applyAlignment="1">
      <alignment horizontal="center" vertical="top"/>
    </xf>
    <xf numFmtId="0" fontId="8" fillId="0" borderId="8" xfId="0" applyFont="1" applyFill="1" applyBorder="1" applyAlignment="1">
      <alignment horizontal="center"/>
    </xf>
    <xf numFmtId="0" fontId="8" fillId="0" borderId="9" xfId="0" applyFont="1" applyFill="1" applyBorder="1" applyAlignment="1">
      <alignment horizontal="center"/>
    </xf>
    <xf numFmtId="0" fontId="8" fillId="0" borderId="10" xfId="0" applyFont="1" applyFill="1" applyBorder="1" applyAlignment="1">
      <alignment horizontal="center"/>
    </xf>
    <xf numFmtId="0" fontId="8" fillId="0" borderId="11" xfId="0" applyFont="1" applyFill="1" applyBorder="1" applyAlignment="1">
      <alignment horizontal="center"/>
    </xf>
    <xf numFmtId="0" fontId="8" fillId="0" borderId="0" xfId="0" applyFont="1" applyFill="1" applyBorder="1" applyAlignment="1">
      <alignment horizontal="center"/>
    </xf>
    <xf numFmtId="0" fontId="8" fillId="0" borderId="12" xfId="0" applyFont="1" applyFill="1" applyBorder="1" applyAlignment="1">
      <alignment horizontal="center"/>
    </xf>
    <xf numFmtId="0" fontId="0" fillId="0" borderId="0" xfId="0" applyFill="1" applyAlignment="1">
      <alignment horizontal="right" wrapText="1"/>
    </xf>
    <xf numFmtId="0" fontId="8" fillId="0" borderId="0" xfId="0" applyFont="1" applyFill="1" applyAlignment="1">
      <alignment horizontal="right" wrapText="1"/>
    </xf>
    <xf numFmtId="0" fontId="0" fillId="0" borderId="0" xfId="0" applyFill="1" applyAlignment="1">
      <alignment wrapText="1"/>
    </xf>
    <xf numFmtId="0" fontId="2" fillId="0" borderId="0" xfId="0" applyFont="1" applyAlignment="1">
      <alignment wrapText="1"/>
    </xf>
    <xf numFmtId="0" fontId="19" fillId="0" borderId="0" xfId="1" applyFont="1" applyAlignment="1">
      <alignment horizontal="left" vertical="center" wrapText="1"/>
    </xf>
    <xf numFmtId="0" fontId="4" fillId="0" borderId="0" xfId="1" applyFill="1" applyAlignment="1">
      <alignment horizontal="left" vertical="center" wrapText="1"/>
    </xf>
    <xf numFmtId="0" fontId="21" fillId="0" borderId="0" xfId="0" applyFont="1" applyFill="1" applyAlignment="1">
      <alignment horizontal="right"/>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7"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2" fillId="0" borderId="0" xfId="0" applyFont="1" applyFill="1" applyAlignment="1">
      <alignment horizontal="center" vertical="center" wrapText="1"/>
    </xf>
    <xf numFmtId="0" fontId="0" fillId="0" borderId="15" xfId="0" applyFill="1" applyBorder="1" applyAlignment="1">
      <alignment vertical="top" wrapText="1"/>
    </xf>
    <xf numFmtId="0" fontId="0" fillId="0" borderId="12" xfId="0" applyFill="1" applyBorder="1" applyAlignment="1">
      <alignment vertical="top" wrapText="1"/>
    </xf>
    <xf numFmtId="0" fontId="0" fillId="0" borderId="10" xfId="0" applyFill="1" applyBorder="1" applyAlignment="1">
      <alignment vertical="top" wrapText="1"/>
    </xf>
    <xf numFmtId="0" fontId="3" fillId="0" borderId="13"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0" fillId="0" borderId="14" xfId="0" applyFill="1" applyBorder="1" applyAlignment="1">
      <alignment vertical="top" wrapText="1"/>
    </xf>
    <xf numFmtId="0" fontId="0" fillId="0" borderId="0" xfId="0" applyFill="1" applyBorder="1" applyAlignment="1">
      <alignment vertical="top" wrapText="1"/>
    </xf>
    <xf numFmtId="0" fontId="0" fillId="0" borderId="9" xfId="0" applyFill="1" applyBorder="1" applyAlignment="1">
      <alignment vertical="top" wrapText="1"/>
    </xf>
    <xf numFmtId="0" fontId="13" fillId="0" borderId="0" xfId="0" applyFont="1" applyFill="1" applyAlignment="1">
      <alignment horizontal="right"/>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4" fillId="0" borderId="3" xfId="1" applyFill="1" applyBorder="1" applyAlignment="1">
      <alignment horizontal="center" vertical="center" wrapText="1"/>
    </xf>
    <xf numFmtId="0" fontId="3" fillId="0" borderId="23" xfId="0" applyFont="1" applyBorder="1" applyAlignment="1">
      <alignment vertical="center"/>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AppData\Local\Temp\&#1055;&#1088;&#1080;&#1083;&#1086;&#1078;&#1077;&#1085;&#1080;&#1103;%20&#1052;&#1055;%20&#1056;&#1072;&#1079;&#1074;&#1080;&#1090;&#1080;&#1077;%20&#1054;&#1073;&#1088;%202020%20-%202024&#1075;&#1075;%20&#1089;&#1077;&#1085;&#1090;&#1103;&#1073;&#1088;&#1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М ПП 1"/>
      <sheetName val="ИФ ПП 1"/>
      <sheetName val="ПОМ ПП 2"/>
      <sheetName val="ИФ ПП 2"/>
      <sheetName val="ПОМ ВЦП"/>
      <sheetName val="ИФ ВЦП"/>
      <sheetName val="ПОМ АВЦП"/>
      <sheetName val="СОФ МЦП"/>
      <sheetName val="Лист1"/>
      <sheetName val="Лист2"/>
    </sheetNames>
    <sheetDataSet>
      <sheetData sheetId="0"/>
      <sheetData sheetId="1"/>
      <sheetData sheetId="2">
        <row r="54">
          <cell r="J54">
            <v>15</v>
          </cell>
        </row>
        <row r="55">
          <cell r="J55">
            <v>0</v>
          </cell>
        </row>
        <row r="56">
          <cell r="J56">
            <v>0</v>
          </cell>
        </row>
        <row r="57">
          <cell r="J57">
            <v>0</v>
          </cell>
        </row>
        <row r="70">
          <cell r="F70">
            <v>1175.8504800000001</v>
          </cell>
          <cell r="G70">
            <v>0</v>
          </cell>
          <cell r="H70">
            <v>0</v>
          </cell>
          <cell r="I70">
            <v>0</v>
          </cell>
          <cell r="J70">
            <v>0</v>
          </cell>
        </row>
        <row r="76">
          <cell r="F76">
            <v>1175.85049</v>
          </cell>
          <cell r="G76">
            <v>0</v>
          </cell>
          <cell r="H76">
            <v>0</v>
          </cell>
          <cell r="I76">
            <v>0</v>
          </cell>
          <cell r="J76">
            <v>0</v>
          </cell>
        </row>
        <row r="88">
          <cell r="G88">
            <v>0</v>
          </cell>
          <cell r="H88">
            <v>0</v>
          </cell>
          <cell r="I88">
            <v>0</v>
          </cell>
          <cell r="J88">
            <v>0</v>
          </cell>
        </row>
        <row r="126">
          <cell r="J126">
            <v>0</v>
          </cell>
        </row>
        <row r="127">
          <cell r="J127">
            <v>0</v>
          </cell>
        </row>
        <row r="128">
          <cell r="J128">
            <v>0</v>
          </cell>
        </row>
        <row r="129">
          <cell r="J129">
            <v>0</v>
          </cell>
        </row>
        <row r="435">
          <cell r="J435">
            <v>0</v>
          </cell>
        </row>
        <row r="436">
          <cell r="J436">
            <v>0</v>
          </cell>
        </row>
        <row r="437">
          <cell r="J437">
            <v>0</v>
          </cell>
        </row>
        <row r="438">
          <cell r="J438">
            <v>0</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19"/>
  <sheetViews>
    <sheetView view="pageBreakPreview" zoomScale="85" zoomScaleNormal="100" zoomScaleSheetLayoutView="85" zoomScalePageLayoutView="90" workbookViewId="0">
      <selection activeCell="B28" sqref="B28:B33"/>
    </sheetView>
  </sheetViews>
  <sheetFormatPr defaultColWidth="9.140625" defaultRowHeight="15" x14ac:dyDescent="0.25"/>
  <cols>
    <col min="1" max="1" width="6.85546875" style="29" customWidth="1"/>
    <col min="2" max="2" width="23.42578125" style="29" customWidth="1"/>
    <col min="3" max="3" width="10.5703125" style="29" customWidth="1"/>
    <col min="4" max="4" width="10.140625" style="29" customWidth="1"/>
    <col min="5" max="5" width="10.42578125" style="29" bestFit="1" customWidth="1"/>
    <col min="6" max="6" width="10" style="29" bestFit="1" customWidth="1"/>
    <col min="7" max="8" width="10" style="29" customWidth="1"/>
    <col min="9" max="10" width="10.42578125" style="29" bestFit="1" customWidth="1"/>
    <col min="11" max="11" width="16.7109375" style="29" customWidth="1"/>
    <col min="12" max="16" width="8.85546875" style="29" customWidth="1"/>
    <col min="17" max="17" width="25" style="29" customWidth="1"/>
    <col min="18" max="18" width="9.140625" style="29"/>
    <col min="19" max="19" width="11.5703125" style="51" bestFit="1" customWidth="1"/>
    <col min="20" max="21" width="11.85546875" style="51" customWidth="1"/>
    <col min="22" max="16384" width="9.140625" style="29"/>
  </cols>
  <sheetData>
    <row r="1" spans="1:19" x14ac:dyDescent="0.25">
      <c r="A1" s="28"/>
      <c r="B1" s="28"/>
      <c r="C1" s="28"/>
      <c r="D1" s="28"/>
      <c r="E1" s="28"/>
      <c r="F1" s="28"/>
      <c r="G1" s="28"/>
      <c r="H1" s="28"/>
      <c r="I1" s="28"/>
      <c r="J1" s="28"/>
      <c r="K1" s="28"/>
      <c r="L1" s="28"/>
      <c r="M1" s="28"/>
      <c r="N1" s="28"/>
      <c r="O1" s="192" t="s">
        <v>95</v>
      </c>
      <c r="P1" s="192"/>
      <c r="Q1" s="192"/>
      <c r="R1" s="28"/>
    </row>
    <row r="2" spans="1:19" ht="11.25" customHeight="1" x14ac:dyDescent="0.25">
      <c r="A2" s="28"/>
      <c r="B2" s="28"/>
      <c r="C2" s="28"/>
      <c r="D2" s="28"/>
      <c r="E2" s="28"/>
      <c r="F2" s="28"/>
      <c r="G2" s="28"/>
      <c r="H2" s="28"/>
      <c r="I2" s="28"/>
      <c r="J2" s="28"/>
      <c r="K2" s="200" t="s">
        <v>388</v>
      </c>
      <c r="L2" s="201"/>
      <c r="M2" s="201"/>
      <c r="N2" s="201"/>
      <c r="O2" s="201"/>
      <c r="P2" s="201"/>
      <c r="Q2" s="201"/>
      <c r="R2" s="28"/>
    </row>
    <row r="3" spans="1:19" x14ac:dyDescent="0.25">
      <c r="A3" s="193" t="s">
        <v>96</v>
      </c>
      <c r="B3" s="193"/>
      <c r="C3" s="193"/>
      <c r="D3" s="193"/>
      <c r="E3" s="193"/>
      <c r="F3" s="193"/>
      <c r="G3" s="193"/>
      <c r="H3" s="193"/>
      <c r="I3" s="193"/>
      <c r="J3" s="193"/>
      <c r="K3" s="193"/>
      <c r="L3" s="193"/>
      <c r="M3" s="193"/>
      <c r="N3" s="193"/>
      <c r="O3" s="193"/>
      <c r="P3" s="193"/>
      <c r="Q3" s="193"/>
      <c r="R3" s="28"/>
    </row>
    <row r="4" spans="1:19" x14ac:dyDescent="0.25">
      <c r="A4" s="28"/>
      <c r="B4" s="28"/>
      <c r="C4" s="28"/>
      <c r="D4" s="28"/>
      <c r="E4" s="28"/>
      <c r="F4" s="28"/>
      <c r="G4" s="28"/>
      <c r="H4" s="28"/>
      <c r="I4" s="28"/>
      <c r="J4" s="28"/>
      <c r="K4" s="28"/>
      <c r="L4" s="28"/>
      <c r="M4" s="28"/>
      <c r="N4" s="28"/>
      <c r="O4" s="28"/>
      <c r="P4" s="28"/>
      <c r="Q4" s="28"/>
      <c r="R4" s="28"/>
    </row>
    <row r="5" spans="1:19" ht="27.75" customHeight="1" x14ac:dyDescent="0.25">
      <c r="A5" s="164" t="s">
        <v>0</v>
      </c>
      <c r="B5" s="164" t="s">
        <v>1</v>
      </c>
      <c r="C5" s="164" t="s">
        <v>2</v>
      </c>
      <c r="D5" s="164" t="s">
        <v>143</v>
      </c>
      <c r="E5" s="165" t="s">
        <v>3</v>
      </c>
      <c r="F5" s="165"/>
      <c r="G5" s="165"/>
      <c r="H5" s="165"/>
      <c r="I5" s="165"/>
      <c r="J5" s="165"/>
      <c r="K5" s="164" t="s">
        <v>5</v>
      </c>
      <c r="L5" s="164"/>
      <c r="M5" s="164"/>
      <c r="N5" s="164"/>
      <c r="O5" s="164"/>
      <c r="P5" s="164"/>
      <c r="Q5" s="158" t="s">
        <v>144</v>
      </c>
      <c r="R5" s="28"/>
    </row>
    <row r="6" spans="1:19" ht="51" customHeight="1" x14ac:dyDescent="0.25">
      <c r="A6" s="164"/>
      <c r="B6" s="164"/>
      <c r="C6" s="164"/>
      <c r="D6" s="164"/>
      <c r="E6" s="107" t="s">
        <v>4</v>
      </c>
      <c r="F6" s="107" t="s">
        <v>164</v>
      </c>
      <c r="G6" s="107" t="s">
        <v>165</v>
      </c>
      <c r="H6" s="107" t="s">
        <v>166</v>
      </c>
      <c r="I6" s="107" t="s">
        <v>167</v>
      </c>
      <c r="J6" s="107" t="s">
        <v>168</v>
      </c>
      <c r="K6" s="106" t="s">
        <v>6</v>
      </c>
      <c r="L6" s="107" t="s">
        <v>164</v>
      </c>
      <c r="M6" s="107" t="s">
        <v>165</v>
      </c>
      <c r="N6" s="107" t="s">
        <v>166</v>
      </c>
      <c r="O6" s="107" t="s">
        <v>167</v>
      </c>
      <c r="P6" s="107" t="s">
        <v>168</v>
      </c>
      <c r="Q6" s="160"/>
      <c r="R6" s="52"/>
      <c r="S6" s="53"/>
    </row>
    <row r="7" spans="1:19" x14ac:dyDescent="0.25">
      <c r="A7" s="112">
        <v>1</v>
      </c>
      <c r="B7" s="112">
        <v>2</v>
      </c>
      <c r="C7" s="112">
        <v>3</v>
      </c>
      <c r="D7" s="112">
        <v>4</v>
      </c>
      <c r="E7" s="112">
        <v>5</v>
      </c>
      <c r="F7" s="112">
        <v>6</v>
      </c>
      <c r="G7" s="112">
        <v>7</v>
      </c>
      <c r="H7" s="112">
        <v>8</v>
      </c>
      <c r="I7" s="112">
        <v>9</v>
      </c>
      <c r="J7" s="112">
        <v>10</v>
      </c>
      <c r="K7" s="112">
        <v>11</v>
      </c>
      <c r="L7" s="112">
        <v>12</v>
      </c>
      <c r="M7" s="112">
        <v>13</v>
      </c>
      <c r="N7" s="112">
        <v>14</v>
      </c>
      <c r="O7" s="112">
        <v>15</v>
      </c>
      <c r="P7" s="112">
        <v>16</v>
      </c>
      <c r="Q7" s="112">
        <v>17</v>
      </c>
      <c r="R7" s="28"/>
    </row>
    <row r="8" spans="1:19" x14ac:dyDescent="0.25">
      <c r="A8" s="112"/>
      <c r="B8" s="190" t="s">
        <v>97</v>
      </c>
      <c r="C8" s="190"/>
      <c r="D8" s="190"/>
      <c r="E8" s="190"/>
      <c r="F8" s="190"/>
      <c r="G8" s="190"/>
      <c r="H8" s="190"/>
      <c r="I8" s="190"/>
      <c r="J8" s="190"/>
      <c r="K8" s="190"/>
      <c r="L8" s="190"/>
      <c r="M8" s="190"/>
      <c r="N8" s="190"/>
      <c r="O8" s="190"/>
      <c r="P8" s="190"/>
      <c r="Q8" s="190"/>
      <c r="R8" s="28"/>
    </row>
    <row r="9" spans="1:19" x14ac:dyDescent="0.25">
      <c r="A9" s="111" t="s">
        <v>7</v>
      </c>
      <c r="B9" s="194" t="s">
        <v>185</v>
      </c>
      <c r="C9" s="195"/>
      <c r="D9" s="195"/>
      <c r="E9" s="195"/>
      <c r="F9" s="195"/>
      <c r="G9" s="195"/>
      <c r="H9" s="195"/>
      <c r="I9" s="195"/>
      <c r="J9" s="195"/>
      <c r="K9" s="195"/>
      <c r="L9" s="195"/>
      <c r="M9" s="195"/>
      <c r="N9" s="195"/>
      <c r="O9" s="195"/>
      <c r="P9" s="195"/>
      <c r="Q9" s="196"/>
      <c r="R9" s="28"/>
    </row>
    <row r="10" spans="1:19" ht="67.5" x14ac:dyDescent="0.25">
      <c r="A10" s="166" t="s">
        <v>8</v>
      </c>
      <c r="B10" s="158" t="s">
        <v>214</v>
      </c>
      <c r="C10" s="158" t="s">
        <v>173</v>
      </c>
      <c r="D10" s="54" t="s">
        <v>9</v>
      </c>
      <c r="E10" s="46">
        <f t="shared" ref="E10:J10" si="0">SUM(E11:E15)</f>
        <v>909948.65560000006</v>
      </c>
      <c r="F10" s="46">
        <f t="shared" si="0"/>
        <v>168364.37800000003</v>
      </c>
      <c r="G10" s="46">
        <f t="shared" si="0"/>
        <v>182762.62</v>
      </c>
      <c r="H10" s="46">
        <f t="shared" si="0"/>
        <v>183975.99</v>
      </c>
      <c r="I10" s="46">
        <f t="shared" si="0"/>
        <v>186018.49</v>
      </c>
      <c r="J10" s="46">
        <f t="shared" si="0"/>
        <v>188827.1776</v>
      </c>
      <c r="K10" s="57" t="s">
        <v>101</v>
      </c>
      <c r="L10" s="107">
        <v>7</v>
      </c>
      <c r="M10" s="107">
        <v>7</v>
      </c>
      <c r="N10" s="107">
        <v>7</v>
      </c>
      <c r="O10" s="107">
        <v>7</v>
      </c>
      <c r="P10" s="107">
        <v>7</v>
      </c>
      <c r="Q10" s="158" t="s">
        <v>58</v>
      </c>
      <c r="R10" s="28"/>
    </row>
    <row r="11" spans="1:19" ht="24" customHeight="1" x14ac:dyDescent="0.25">
      <c r="A11" s="167"/>
      <c r="B11" s="159"/>
      <c r="C11" s="159"/>
      <c r="D11" s="155" t="s">
        <v>10</v>
      </c>
      <c r="E11" s="156"/>
      <c r="F11" s="156"/>
      <c r="G11" s="156"/>
      <c r="H11" s="156"/>
      <c r="I11" s="156"/>
      <c r="J11" s="157"/>
      <c r="K11" s="197" t="s">
        <v>103</v>
      </c>
      <c r="L11" s="165">
        <v>650</v>
      </c>
      <c r="M11" s="165">
        <v>660</v>
      </c>
      <c r="N11" s="165">
        <v>670</v>
      </c>
      <c r="O11" s="165">
        <v>670</v>
      </c>
      <c r="P11" s="165">
        <v>670</v>
      </c>
      <c r="Q11" s="159"/>
      <c r="R11" s="28"/>
    </row>
    <row r="12" spans="1:19" x14ac:dyDescent="0.25">
      <c r="A12" s="167"/>
      <c r="B12" s="159"/>
      <c r="C12" s="159"/>
      <c r="D12" s="54" t="s">
        <v>11</v>
      </c>
      <c r="E12" s="46">
        <f>SUM(F12:J12)</f>
        <v>358578.66760000004</v>
      </c>
      <c r="F12" s="46">
        <f>39953.26+627.9+33506.73</f>
        <v>74087.890000000014</v>
      </c>
      <c r="G12" s="46">
        <f>39647.15+1169.5+29273.97</f>
        <v>70090.62</v>
      </c>
      <c r="H12" s="46">
        <f>40497.35+1223.1+29436.64</f>
        <v>71157.09</v>
      </c>
      <c r="I12" s="46">
        <f>40497.35+1272.5+28447.34</f>
        <v>70217.19</v>
      </c>
      <c r="J12" s="46">
        <f>I12*1.04</f>
        <v>73025.877600000007</v>
      </c>
      <c r="K12" s="198"/>
      <c r="L12" s="199"/>
      <c r="M12" s="199"/>
      <c r="N12" s="199"/>
      <c r="O12" s="199"/>
      <c r="P12" s="199"/>
      <c r="Q12" s="159"/>
      <c r="R12" s="28"/>
    </row>
    <row r="13" spans="1:19" x14ac:dyDescent="0.25">
      <c r="A13" s="167"/>
      <c r="B13" s="159"/>
      <c r="C13" s="159"/>
      <c r="D13" s="54" t="s">
        <v>12</v>
      </c>
      <c r="E13" s="46">
        <f>SUM(F13:J13)</f>
        <v>520969.98800000001</v>
      </c>
      <c r="F13" s="46">
        <f>5163.588+11930.8+72082.1</f>
        <v>89176.488000000012</v>
      </c>
      <c r="G13" s="46">
        <f>22220.3+84451.7</f>
        <v>106672</v>
      </c>
      <c r="H13" s="46">
        <f>23238.4+83280.5</f>
        <v>106518.9</v>
      </c>
      <c r="I13" s="46">
        <f>24178.3+85123</f>
        <v>109301.3</v>
      </c>
      <c r="J13" s="46">
        <f>I13</f>
        <v>109301.3</v>
      </c>
      <c r="K13" s="198"/>
      <c r="L13" s="199"/>
      <c r="M13" s="199"/>
      <c r="N13" s="199"/>
      <c r="O13" s="199"/>
      <c r="P13" s="199"/>
      <c r="Q13" s="159"/>
      <c r="R13" s="28"/>
    </row>
    <row r="14" spans="1:19" x14ac:dyDescent="0.25">
      <c r="A14" s="167"/>
      <c r="B14" s="159"/>
      <c r="C14" s="159"/>
      <c r="D14" s="54" t="s">
        <v>13</v>
      </c>
      <c r="E14" s="46">
        <f>SUM(F14:J14)</f>
        <v>0</v>
      </c>
      <c r="F14" s="46"/>
      <c r="G14" s="46"/>
      <c r="H14" s="46"/>
      <c r="I14" s="46"/>
      <c r="J14" s="46"/>
      <c r="K14" s="198"/>
      <c r="L14" s="199"/>
      <c r="M14" s="199"/>
      <c r="N14" s="199"/>
      <c r="O14" s="199"/>
      <c r="P14" s="199"/>
      <c r="Q14" s="159"/>
      <c r="R14" s="28"/>
    </row>
    <row r="15" spans="1:19" x14ac:dyDescent="0.25">
      <c r="A15" s="168"/>
      <c r="B15" s="160"/>
      <c r="C15" s="160"/>
      <c r="D15" s="54" t="s">
        <v>14</v>
      </c>
      <c r="E15" s="46">
        <f>SUM(F15:J15)</f>
        <v>30400</v>
      </c>
      <c r="F15" s="46">
        <v>5100</v>
      </c>
      <c r="G15" s="46">
        <v>6000</v>
      </c>
      <c r="H15" s="46">
        <v>6300</v>
      </c>
      <c r="I15" s="46">
        <v>6500</v>
      </c>
      <c r="J15" s="46">
        <v>6500</v>
      </c>
      <c r="K15" s="198"/>
      <c r="L15" s="199"/>
      <c r="M15" s="199"/>
      <c r="N15" s="199"/>
      <c r="O15" s="199"/>
      <c r="P15" s="199"/>
      <c r="Q15" s="160"/>
      <c r="R15" s="28"/>
    </row>
    <row r="16" spans="1:19" ht="24" customHeight="1" x14ac:dyDescent="0.25">
      <c r="A16" s="166" t="s">
        <v>15</v>
      </c>
      <c r="B16" s="158" t="s">
        <v>59</v>
      </c>
      <c r="C16" s="158" t="s">
        <v>173</v>
      </c>
      <c r="D16" s="54" t="s">
        <v>9</v>
      </c>
      <c r="E16" s="46">
        <f t="shared" ref="E16:J16" si="1">SUM(E17:E21)</f>
        <v>868501.61885999993</v>
      </c>
      <c r="F16" s="46">
        <f t="shared" si="1"/>
        <v>165396.20600000001</v>
      </c>
      <c r="G16" s="46">
        <f t="shared" si="1"/>
        <v>169042.5215</v>
      </c>
      <c r="H16" s="46">
        <f t="shared" si="1"/>
        <v>177411.08</v>
      </c>
      <c r="I16" s="46">
        <f t="shared" si="1"/>
        <v>177595.18400000001</v>
      </c>
      <c r="J16" s="46">
        <f t="shared" si="1"/>
        <v>179056.62736000001</v>
      </c>
      <c r="K16" s="164" t="s">
        <v>102</v>
      </c>
      <c r="L16" s="165">
        <v>3</v>
      </c>
      <c r="M16" s="165">
        <v>3</v>
      </c>
      <c r="N16" s="165">
        <v>3</v>
      </c>
      <c r="O16" s="165">
        <v>3</v>
      </c>
      <c r="P16" s="165">
        <v>3</v>
      </c>
      <c r="Q16" s="152" t="s">
        <v>169</v>
      </c>
      <c r="R16" s="28"/>
    </row>
    <row r="17" spans="1:18" ht="24" customHeight="1" x14ac:dyDescent="0.25">
      <c r="A17" s="167"/>
      <c r="B17" s="159"/>
      <c r="C17" s="159"/>
      <c r="D17" s="155" t="s">
        <v>10</v>
      </c>
      <c r="E17" s="156"/>
      <c r="F17" s="156"/>
      <c r="G17" s="156"/>
      <c r="H17" s="156"/>
      <c r="I17" s="156"/>
      <c r="J17" s="157"/>
      <c r="K17" s="164"/>
      <c r="L17" s="165"/>
      <c r="M17" s="165"/>
      <c r="N17" s="165"/>
      <c r="O17" s="165"/>
      <c r="P17" s="165"/>
      <c r="Q17" s="153"/>
      <c r="R17" s="28"/>
    </row>
    <row r="18" spans="1:18" ht="24" customHeight="1" x14ac:dyDescent="0.25">
      <c r="A18" s="167"/>
      <c r="B18" s="159"/>
      <c r="C18" s="159"/>
      <c r="D18" s="54" t="s">
        <v>11</v>
      </c>
      <c r="E18" s="46">
        <f>SUM(F18:J18)</f>
        <v>182186.91886000001</v>
      </c>
      <c r="F18" s="46">
        <f>29955.426+55.2+6217.68</f>
        <v>36228.305999999997</v>
      </c>
      <c r="G18" s="46">
        <f>29330+125.9+5385.08-25-28.2585</f>
        <v>34787.7215</v>
      </c>
      <c r="H18" s="46">
        <f>31235.9+131.7+5269.68</f>
        <v>36637.279999999999</v>
      </c>
      <c r="I18" s="46">
        <f>31235.9+137+5163.184</f>
        <v>36536.084000000003</v>
      </c>
      <c r="J18" s="46">
        <f>I18*1.04</f>
        <v>37997.527360000007</v>
      </c>
      <c r="K18" s="164"/>
      <c r="L18" s="165"/>
      <c r="M18" s="165"/>
      <c r="N18" s="165"/>
      <c r="O18" s="165"/>
      <c r="P18" s="165"/>
      <c r="Q18" s="153"/>
      <c r="R18" s="28"/>
    </row>
    <row r="19" spans="1:18" ht="33" customHeight="1" x14ac:dyDescent="0.25">
      <c r="A19" s="167"/>
      <c r="B19" s="159"/>
      <c r="C19" s="159"/>
      <c r="D19" s="54" t="s">
        <v>12</v>
      </c>
      <c r="E19" s="46">
        <f>SUM(F19:J19)</f>
        <v>684606.7</v>
      </c>
      <c r="F19" s="46">
        <f>1048.5+127777.8</f>
        <v>128826.3</v>
      </c>
      <c r="G19" s="46">
        <f>2392.2+131521</f>
        <v>133913.20000000001</v>
      </c>
      <c r="H19" s="46">
        <f>2501.8+133047.8+4882.6</f>
        <v>140432.19999999998</v>
      </c>
      <c r="I19" s="46">
        <f>2603+134231.7+3882.8</f>
        <v>140717.5</v>
      </c>
      <c r="J19" s="46">
        <f>I19</f>
        <v>140717.5</v>
      </c>
      <c r="K19" s="164" t="s">
        <v>105</v>
      </c>
      <c r="L19" s="164">
        <v>1050</v>
      </c>
      <c r="M19" s="164">
        <v>1055</v>
      </c>
      <c r="N19" s="164">
        <v>1060</v>
      </c>
      <c r="O19" s="164">
        <v>1065</v>
      </c>
      <c r="P19" s="164">
        <v>1065</v>
      </c>
      <c r="Q19" s="153"/>
      <c r="R19" s="28"/>
    </row>
    <row r="20" spans="1:18" ht="25.5" customHeight="1" x14ac:dyDescent="0.25">
      <c r="A20" s="167"/>
      <c r="B20" s="159"/>
      <c r="C20" s="159"/>
      <c r="D20" s="54" t="s">
        <v>13</v>
      </c>
      <c r="E20" s="46">
        <f>SUM(F20:J20)</f>
        <v>0</v>
      </c>
      <c r="F20" s="46"/>
      <c r="G20" s="46"/>
      <c r="H20" s="46"/>
      <c r="I20" s="46"/>
      <c r="J20" s="46"/>
      <c r="K20" s="164"/>
      <c r="L20" s="164"/>
      <c r="M20" s="164"/>
      <c r="N20" s="164"/>
      <c r="O20" s="164"/>
      <c r="P20" s="164"/>
      <c r="Q20" s="153"/>
      <c r="R20" s="28"/>
    </row>
    <row r="21" spans="1:18" ht="25.5" customHeight="1" x14ac:dyDescent="0.25">
      <c r="A21" s="168"/>
      <c r="B21" s="160"/>
      <c r="C21" s="160"/>
      <c r="D21" s="54" t="s">
        <v>14</v>
      </c>
      <c r="E21" s="46">
        <f>SUM(F21:J21)</f>
        <v>1708</v>
      </c>
      <c r="F21" s="46">
        <v>341.6</v>
      </c>
      <c r="G21" s="46">
        <v>341.6</v>
      </c>
      <c r="H21" s="46">
        <v>341.6</v>
      </c>
      <c r="I21" s="46">
        <v>341.6</v>
      </c>
      <c r="J21" s="46">
        <v>341.6</v>
      </c>
      <c r="K21" s="164"/>
      <c r="L21" s="164"/>
      <c r="M21" s="164"/>
      <c r="N21" s="164"/>
      <c r="O21" s="164"/>
      <c r="P21" s="164"/>
      <c r="Q21" s="154"/>
      <c r="R21" s="28"/>
    </row>
    <row r="22" spans="1:18" ht="26.45" customHeight="1" x14ac:dyDescent="0.25">
      <c r="A22" s="166" t="s">
        <v>216</v>
      </c>
      <c r="B22" s="158" t="s">
        <v>60</v>
      </c>
      <c r="C22" s="158" t="s">
        <v>173</v>
      </c>
      <c r="D22" s="54" t="s">
        <v>9</v>
      </c>
      <c r="E22" s="46">
        <f t="shared" ref="E22:J22" si="2">SUM(E23:E27)</f>
        <v>16033.522680000002</v>
      </c>
      <c r="F22" s="46">
        <f t="shared" si="2"/>
        <v>3568.38067</v>
      </c>
      <c r="G22" s="46">
        <f t="shared" si="2"/>
        <v>1760</v>
      </c>
      <c r="H22" s="46">
        <f t="shared" si="2"/>
        <v>3568.38067</v>
      </c>
      <c r="I22" s="46">
        <f t="shared" si="2"/>
        <v>3568.38067</v>
      </c>
      <c r="J22" s="46">
        <f t="shared" si="2"/>
        <v>3568.38067</v>
      </c>
      <c r="K22" s="179" t="s">
        <v>104</v>
      </c>
      <c r="L22" s="169">
        <v>0.04</v>
      </c>
      <c r="M22" s="169">
        <v>0.04</v>
      </c>
      <c r="N22" s="169">
        <v>0.04</v>
      </c>
      <c r="O22" s="169">
        <v>0.05</v>
      </c>
      <c r="P22" s="169">
        <v>0.05</v>
      </c>
      <c r="Q22" s="158" t="s">
        <v>170</v>
      </c>
      <c r="R22" s="28"/>
    </row>
    <row r="23" spans="1:18" x14ac:dyDescent="0.25">
      <c r="A23" s="167"/>
      <c r="B23" s="159"/>
      <c r="C23" s="159"/>
      <c r="D23" s="155" t="s">
        <v>10</v>
      </c>
      <c r="E23" s="156"/>
      <c r="F23" s="156"/>
      <c r="G23" s="156"/>
      <c r="H23" s="156"/>
      <c r="I23" s="156"/>
      <c r="J23" s="157"/>
      <c r="K23" s="205"/>
      <c r="L23" s="170"/>
      <c r="M23" s="170"/>
      <c r="N23" s="170"/>
      <c r="O23" s="170"/>
      <c r="P23" s="170"/>
      <c r="Q23" s="159"/>
      <c r="R23" s="28"/>
    </row>
    <row r="24" spans="1:18" x14ac:dyDescent="0.25">
      <c r="A24" s="167"/>
      <c r="B24" s="159"/>
      <c r="C24" s="159"/>
      <c r="D24" s="54" t="s">
        <v>11</v>
      </c>
      <c r="E24" s="46">
        <f>SUM(F24:J24)</f>
        <v>801.67999999999984</v>
      </c>
      <c r="F24" s="46">
        <v>178.42</v>
      </c>
      <c r="G24" s="46">
        <v>88</v>
      </c>
      <c r="H24" s="46">
        <v>178.42</v>
      </c>
      <c r="I24" s="46">
        <v>178.42</v>
      </c>
      <c r="J24" s="46">
        <f>I24</f>
        <v>178.42</v>
      </c>
      <c r="K24" s="205"/>
      <c r="L24" s="170"/>
      <c r="M24" s="170"/>
      <c r="N24" s="170"/>
      <c r="O24" s="170"/>
      <c r="P24" s="170"/>
      <c r="Q24" s="159"/>
      <c r="R24" s="28"/>
    </row>
    <row r="25" spans="1:18" x14ac:dyDescent="0.25">
      <c r="A25" s="167"/>
      <c r="B25" s="159"/>
      <c r="C25" s="159"/>
      <c r="D25" s="54" t="s">
        <v>12</v>
      </c>
      <c r="E25" s="46">
        <f>SUM(F25:J25)</f>
        <v>15231.842680000002</v>
      </c>
      <c r="F25" s="46">
        <v>3389.9606699999999</v>
      </c>
      <c r="G25" s="46">
        <v>1672</v>
      </c>
      <c r="H25" s="46">
        <v>3389.9606699999999</v>
      </c>
      <c r="I25" s="46">
        <v>3389.9606699999999</v>
      </c>
      <c r="J25" s="46">
        <f>I25</f>
        <v>3389.9606699999999</v>
      </c>
      <c r="K25" s="205"/>
      <c r="L25" s="170"/>
      <c r="M25" s="170"/>
      <c r="N25" s="170"/>
      <c r="O25" s="170"/>
      <c r="P25" s="170"/>
      <c r="Q25" s="159"/>
      <c r="R25" s="28"/>
    </row>
    <row r="26" spans="1:18" x14ac:dyDescent="0.25">
      <c r="A26" s="167"/>
      <c r="B26" s="159"/>
      <c r="C26" s="159"/>
      <c r="D26" s="54" t="s">
        <v>13</v>
      </c>
      <c r="E26" s="46">
        <f>SUM(F26:J26)</f>
        <v>0</v>
      </c>
      <c r="F26" s="46"/>
      <c r="G26" s="46"/>
      <c r="H26" s="46"/>
      <c r="I26" s="46"/>
      <c r="J26" s="46"/>
      <c r="K26" s="205"/>
      <c r="L26" s="170"/>
      <c r="M26" s="170"/>
      <c r="N26" s="170"/>
      <c r="O26" s="170"/>
      <c r="P26" s="170"/>
      <c r="Q26" s="159"/>
      <c r="R26" s="28"/>
    </row>
    <row r="27" spans="1:18" x14ac:dyDescent="0.25">
      <c r="A27" s="168"/>
      <c r="B27" s="160"/>
      <c r="C27" s="160"/>
      <c r="D27" s="54" t="s">
        <v>14</v>
      </c>
      <c r="E27" s="46">
        <f>SUM(F27:J27)</f>
        <v>0</v>
      </c>
      <c r="F27" s="46"/>
      <c r="G27" s="46"/>
      <c r="H27" s="46"/>
      <c r="I27" s="46"/>
      <c r="J27" s="46"/>
      <c r="K27" s="206"/>
      <c r="L27" s="171"/>
      <c r="M27" s="171"/>
      <c r="N27" s="171"/>
      <c r="O27" s="171"/>
      <c r="P27" s="171"/>
      <c r="Q27" s="160"/>
      <c r="R27" s="28"/>
    </row>
    <row r="28" spans="1:18" ht="38.25" customHeight="1" x14ac:dyDescent="0.25">
      <c r="A28" s="166" t="s">
        <v>217</v>
      </c>
      <c r="B28" s="158" t="s">
        <v>215</v>
      </c>
      <c r="C28" s="158" t="s">
        <v>173</v>
      </c>
      <c r="D28" s="54" t="s">
        <v>9</v>
      </c>
      <c r="E28" s="46">
        <f t="shared" ref="E28:J28" si="3">SUM(E29:E33)</f>
        <v>309173.65680000006</v>
      </c>
      <c r="F28" s="46">
        <f t="shared" si="3"/>
        <v>60990.190999999999</v>
      </c>
      <c r="G28" s="46">
        <f t="shared" si="3"/>
        <v>61842.125</v>
      </c>
      <c r="H28" s="46">
        <f t="shared" si="3"/>
        <v>61642.657999999996</v>
      </c>
      <c r="I28" s="46">
        <f t="shared" si="3"/>
        <v>61642.657999999996</v>
      </c>
      <c r="J28" s="46">
        <f t="shared" si="3"/>
        <v>63056.024799999999</v>
      </c>
      <c r="K28" s="172" t="s">
        <v>177</v>
      </c>
      <c r="L28" s="165">
        <v>2</v>
      </c>
      <c r="M28" s="165">
        <v>2</v>
      </c>
      <c r="N28" s="165">
        <v>2</v>
      </c>
      <c r="O28" s="165">
        <v>2</v>
      </c>
      <c r="P28" s="165">
        <v>2</v>
      </c>
      <c r="Q28" s="158" t="s">
        <v>160</v>
      </c>
      <c r="R28" s="28"/>
    </row>
    <row r="29" spans="1:18" ht="33.6" customHeight="1" x14ac:dyDescent="0.25">
      <c r="A29" s="167"/>
      <c r="B29" s="159"/>
      <c r="C29" s="159"/>
      <c r="D29" s="155" t="s">
        <v>10</v>
      </c>
      <c r="E29" s="156"/>
      <c r="F29" s="156"/>
      <c r="G29" s="156"/>
      <c r="H29" s="156"/>
      <c r="I29" s="156"/>
      <c r="J29" s="157"/>
      <c r="K29" s="172"/>
      <c r="L29" s="165"/>
      <c r="M29" s="165"/>
      <c r="N29" s="165"/>
      <c r="O29" s="165"/>
      <c r="P29" s="165"/>
      <c r="Q29" s="159"/>
      <c r="R29" s="28"/>
    </row>
    <row r="30" spans="1:18" ht="38.25" customHeight="1" x14ac:dyDescent="0.25">
      <c r="A30" s="167"/>
      <c r="B30" s="159"/>
      <c r="C30" s="159"/>
      <c r="D30" s="54" t="s">
        <v>11</v>
      </c>
      <c r="E30" s="46">
        <f>SUM(F30:J30)</f>
        <v>174156.05680000002</v>
      </c>
      <c r="F30" s="46">
        <f>8277.5+1262.4+25751.891</f>
        <v>35291.790999999997</v>
      </c>
      <c r="G30" s="46">
        <f>8868.54+1322.4+26534.19-818.005</f>
        <v>35907.125</v>
      </c>
      <c r="H30" s="46">
        <f>9691.58+1382.9+25322.49-1840.512</f>
        <v>34556.457999999999</v>
      </c>
      <c r="I30" s="46">
        <f>9691.58+1438.9+24203.69-1840.512</f>
        <v>33493.657999999996</v>
      </c>
      <c r="J30" s="46">
        <f>(I30+1840.512)*1.04-1840.512</f>
        <v>34907.024799999999</v>
      </c>
      <c r="K30" s="172" t="s">
        <v>178</v>
      </c>
      <c r="L30" s="164">
        <v>1600</v>
      </c>
      <c r="M30" s="164">
        <v>1650</v>
      </c>
      <c r="N30" s="164">
        <v>1700</v>
      </c>
      <c r="O30" s="164">
        <v>1700</v>
      </c>
      <c r="P30" s="164">
        <v>1700</v>
      </c>
      <c r="Q30" s="159"/>
      <c r="R30" s="28"/>
    </row>
    <row r="31" spans="1:18" ht="38.25" customHeight="1" x14ac:dyDescent="0.25">
      <c r="A31" s="167"/>
      <c r="B31" s="159"/>
      <c r="C31" s="159"/>
      <c r="D31" s="54" t="s">
        <v>12</v>
      </c>
      <c r="E31" s="46">
        <f>SUM(F31:J31)</f>
        <v>130393.20000000001</v>
      </c>
      <c r="F31" s="46">
        <f>330+23984.8</f>
        <v>24314.799999999999</v>
      </c>
      <c r="G31" s="46">
        <v>25124.799999999999</v>
      </c>
      <c r="H31" s="46">
        <v>26276</v>
      </c>
      <c r="I31" s="46">
        <v>27338.799999999999</v>
      </c>
      <c r="J31" s="46">
        <f>I31</f>
        <v>27338.799999999999</v>
      </c>
      <c r="K31" s="172"/>
      <c r="L31" s="164"/>
      <c r="M31" s="164"/>
      <c r="N31" s="164"/>
      <c r="O31" s="164"/>
      <c r="P31" s="164"/>
      <c r="Q31" s="159"/>
      <c r="R31" s="28"/>
    </row>
    <row r="32" spans="1:18" ht="38.25" customHeight="1" x14ac:dyDescent="0.25">
      <c r="A32" s="167"/>
      <c r="B32" s="159"/>
      <c r="C32" s="159"/>
      <c r="D32" s="54" t="s">
        <v>13</v>
      </c>
      <c r="E32" s="46">
        <f>SUM(F32:J32)</f>
        <v>0</v>
      </c>
      <c r="F32" s="46"/>
      <c r="G32" s="46"/>
      <c r="H32" s="46"/>
      <c r="I32" s="46"/>
      <c r="J32" s="46"/>
      <c r="K32" s="172"/>
      <c r="L32" s="164"/>
      <c r="M32" s="164"/>
      <c r="N32" s="164"/>
      <c r="O32" s="164"/>
      <c r="P32" s="164"/>
      <c r="Q32" s="159"/>
      <c r="R32" s="28"/>
    </row>
    <row r="33" spans="1:21" ht="38.25" customHeight="1" x14ac:dyDescent="0.25">
      <c r="A33" s="168"/>
      <c r="B33" s="160"/>
      <c r="C33" s="160"/>
      <c r="D33" s="54" t="s">
        <v>14</v>
      </c>
      <c r="E33" s="46">
        <f>SUM(F33:J33)</f>
        <v>4624.3999999999996</v>
      </c>
      <c r="F33" s="46">
        <f>573.4+810.2</f>
        <v>1383.6</v>
      </c>
      <c r="G33" s="46">
        <f>810.2</f>
        <v>810.2</v>
      </c>
      <c r="H33" s="46">
        <f>810.2</f>
        <v>810.2</v>
      </c>
      <c r="I33" s="46">
        <f>810.2</f>
        <v>810.2</v>
      </c>
      <c r="J33" s="46">
        <f>810.2</f>
        <v>810.2</v>
      </c>
      <c r="K33" s="172"/>
      <c r="L33" s="164"/>
      <c r="M33" s="164"/>
      <c r="N33" s="164"/>
      <c r="O33" s="164"/>
      <c r="P33" s="164"/>
      <c r="Q33" s="160"/>
      <c r="R33" s="28"/>
    </row>
    <row r="34" spans="1:21" ht="48" customHeight="1" x14ac:dyDescent="0.25">
      <c r="A34" s="166" t="s">
        <v>240</v>
      </c>
      <c r="B34" s="173" t="s">
        <v>250</v>
      </c>
      <c r="C34" s="158" t="s">
        <v>173</v>
      </c>
      <c r="D34" s="54" t="s">
        <v>9</v>
      </c>
      <c r="E34" s="46">
        <f t="shared" ref="E34:J34" si="4">SUM(E35:E39)</f>
        <v>47494.356</v>
      </c>
      <c r="F34" s="46">
        <f t="shared" si="4"/>
        <v>3653.4120000000003</v>
      </c>
      <c r="G34" s="46">
        <f t="shared" si="4"/>
        <v>10960.235999999999</v>
      </c>
      <c r="H34" s="46">
        <f t="shared" si="4"/>
        <v>10960.235999999999</v>
      </c>
      <c r="I34" s="46">
        <f t="shared" si="4"/>
        <v>10960.235999999999</v>
      </c>
      <c r="J34" s="46">
        <f t="shared" si="4"/>
        <v>10960.235999999999</v>
      </c>
      <c r="K34" s="176" t="s">
        <v>251</v>
      </c>
      <c r="L34" s="169">
        <v>100</v>
      </c>
      <c r="M34" s="169"/>
      <c r="N34" s="169"/>
      <c r="O34" s="169"/>
      <c r="P34" s="169"/>
      <c r="Q34" s="152" t="s">
        <v>169</v>
      </c>
      <c r="R34" s="28"/>
    </row>
    <row r="35" spans="1:21" ht="29.25" customHeight="1" x14ac:dyDescent="0.25">
      <c r="A35" s="167"/>
      <c r="B35" s="174"/>
      <c r="C35" s="159"/>
      <c r="D35" s="155" t="s">
        <v>10</v>
      </c>
      <c r="E35" s="156"/>
      <c r="F35" s="156"/>
      <c r="G35" s="156"/>
      <c r="H35" s="156"/>
      <c r="I35" s="156"/>
      <c r="J35" s="157"/>
      <c r="K35" s="177"/>
      <c r="L35" s="170"/>
      <c r="M35" s="170"/>
      <c r="N35" s="170"/>
      <c r="O35" s="170"/>
      <c r="P35" s="170"/>
      <c r="Q35" s="153"/>
      <c r="R35" s="28"/>
    </row>
    <row r="36" spans="1:21" ht="29.25" customHeight="1" x14ac:dyDescent="0.25">
      <c r="A36" s="167"/>
      <c r="B36" s="174"/>
      <c r="C36" s="159"/>
      <c r="D36" s="54" t="s">
        <v>11</v>
      </c>
      <c r="E36" s="46">
        <f>SUM(F36:J36)</f>
        <v>0</v>
      </c>
      <c r="F36" s="46"/>
      <c r="G36" s="46"/>
      <c r="H36" s="46"/>
      <c r="I36" s="46"/>
      <c r="J36" s="46"/>
      <c r="K36" s="177"/>
      <c r="L36" s="170"/>
      <c r="M36" s="170"/>
      <c r="N36" s="170"/>
      <c r="O36" s="170"/>
      <c r="P36" s="170"/>
      <c r="Q36" s="153"/>
      <c r="R36" s="28"/>
    </row>
    <row r="37" spans="1:21" ht="29.25" customHeight="1" x14ac:dyDescent="0.25">
      <c r="A37" s="167"/>
      <c r="B37" s="174"/>
      <c r="C37" s="159"/>
      <c r="D37" s="54" t="s">
        <v>12</v>
      </c>
      <c r="E37" s="46">
        <f>SUM(F37:J37)</f>
        <v>2064.9719999999998</v>
      </c>
      <c r="F37" s="46">
        <v>158.84399999999999</v>
      </c>
      <c r="G37" s="46">
        <v>476.53199999999998</v>
      </c>
      <c r="H37" s="46">
        <v>476.53199999999998</v>
      </c>
      <c r="I37" s="46">
        <v>476.53199999999998</v>
      </c>
      <c r="J37" s="46">
        <v>476.53199999999998</v>
      </c>
      <c r="K37" s="177"/>
      <c r="L37" s="170"/>
      <c r="M37" s="170"/>
      <c r="N37" s="170"/>
      <c r="O37" s="170"/>
      <c r="P37" s="170"/>
      <c r="Q37" s="153"/>
      <c r="R37" s="28"/>
    </row>
    <row r="38" spans="1:21" ht="29.25" customHeight="1" x14ac:dyDescent="0.25">
      <c r="A38" s="167"/>
      <c r="B38" s="174"/>
      <c r="C38" s="159"/>
      <c r="D38" s="54" t="s">
        <v>13</v>
      </c>
      <c r="E38" s="46">
        <f>SUM(F38:J38)</f>
        <v>45429.383999999998</v>
      </c>
      <c r="F38" s="46">
        <v>3494.5680000000002</v>
      </c>
      <c r="G38" s="46">
        <v>10483.704</v>
      </c>
      <c r="H38" s="46">
        <v>10483.704</v>
      </c>
      <c r="I38" s="46">
        <v>10483.704</v>
      </c>
      <c r="J38" s="46">
        <v>10483.704</v>
      </c>
      <c r="K38" s="177"/>
      <c r="L38" s="170"/>
      <c r="M38" s="170"/>
      <c r="N38" s="170"/>
      <c r="O38" s="170"/>
      <c r="P38" s="170"/>
      <c r="Q38" s="153"/>
      <c r="R38" s="28"/>
    </row>
    <row r="39" spans="1:21" ht="29.25" customHeight="1" x14ac:dyDescent="0.25">
      <c r="A39" s="167"/>
      <c r="B39" s="175"/>
      <c r="C39" s="160"/>
      <c r="D39" s="54" t="s">
        <v>14</v>
      </c>
      <c r="E39" s="46">
        <f>SUM(F39:J39)</f>
        <v>0</v>
      </c>
      <c r="F39" s="46"/>
      <c r="G39" s="46"/>
      <c r="H39" s="46"/>
      <c r="I39" s="46"/>
      <c r="J39" s="46"/>
      <c r="K39" s="178"/>
      <c r="L39" s="171"/>
      <c r="M39" s="171"/>
      <c r="N39" s="171"/>
      <c r="O39" s="171"/>
      <c r="P39" s="171"/>
      <c r="Q39" s="154"/>
      <c r="R39" s="28"/>
    </row>
    <row r="40" spans="1:21" ht="14.25" customHeight="1" x14ac:dyDescent="0.25">
      <c r="A40" s="207"/>
      <c r="B40" s="166" t="s">
        <v>16</v>
      </c>
      <c r="C40" s="207"/>
      <c r="D40" s="54" t="s">
        <v>9</v>
      </c>
      <c r="E40" s="46">
        <f>SUM(E41:E45)</f>
        <v>2151151.8099400001</v>
      </c>
      <c r="F40" s="46">
        <f>F42+F43+F44+F45</f>
        <v>401972.56767000013</v>
      </c>
      <c r="G40" s="46">
        <f>G42+G43+G44+G45</f>
        <v>426367.5025</v>
      </c>
      <c r="H40" s="46">
        <f>H42+H43+H44+H45</f>
        <v>437558.34466999996</v>
      </c>
      <c r="I40" s="46">
        <f>I42+I43+I44+I45</f>
        <v>439784.94867000001</v>
      </c>
      <c r="J40" s="46">
        <f>J42+J43+J44+J45</f>
        <v>445468.44643000007</v>
      </c>
      <c r="K40" s="161"/>
      <c r="L40" s="207"/>
      <c r="M40" s="207"/>
      <c r="N40" s="207"/>
      <c r="O40" s="207"/>
      <c r="P40" s="207"/>
      <c r="Q40" s="161"/>
      <c r="R40" s="28"/>
      <c r="S40" s="29"/>
      <c r="T40" s="29"/>
      <c r="U40" s="29"/>
    </row>
    <row r="41" spans="1:21" x14ac:dyDescent="0.25">
      <c r="A41" s="208"/>
      <c r="B41" s="167"/>
      <c r="C41" s="208"/>
      <c r="D41" s="155" t="s">
        <v>10</v>
      </c>
      <c r="E41" s="156"/>
      <c r="F41" s="156"/>
      <c r="G41" s="156"/>
      <c r="H41" s="156"/>
      <c r="I41" s="156"/>
      <c r="J41" s="157"/>
      <c r="K41" s="162"/>
      <c r="L41" s="208"/>
      <c r="M41" s="208"/>
      <c r="N41" s="208"/>
      <c r="O41" s="208"/>
      <c r="P41" s="208"/>
      <c r="Q41" s="162"/>
      <c r="R41" s="28"/>
      <c r="S41" s="29"/>
      <c r="T41" s="29"/>
      <c r="U41" s="29"/>
    </row>
    <row r="42" spans="1:21" x14ac:dyDescent="0.25">
      <c r="A42" s="208"/>
      <c r="B42" s="167"/>
      <c r="C42" s="208"/>
      <c r="D42" s="54" t="s">
        <v>11</v>
      </c>
      <c r="E42" s="46">
        <f>SUM(F42:J42)</f>
        <v>715723.32326000009</v>
      </c>
      <c r="F42" s="46">
        <f>F30+F18+F12+F24+F36</f>
        <v>145786.40700000004</v>
      </c>
      <c r="G42" s="46">
        <f>G30+G18+G12+G24+G36</f>
        <v>140873.46649999998</v>
      </c>
      <c r="H42" s="46">
        <f>H30+H18+H12+H24+H36</f>
        <v>142529.24799999999</v>
      </c>
      <c r="I42" s="46">
        <f>I30+I18+I12+I24+I36</f>
        <v>140425.35200000001</v>
      </c>
      <c r="J42" s="46">
        <f>J30+J18+J12+J24+J36</f>
        <v>146108.84976000004</v>
      </c>
      <c r="K42" s="162"/>
      <c r="L42" s="208"/>
      <c r="M42" s="208"/>
      <c r="N42" s="208"/>
      <c r="O42" s="208"/>
      <c r="P42" s="208"/>
      <c r="Q42" s="162"/>
      <c r="R42" s="28"/>
      <c r="S42" s="29"/>
      <c r="T42" s="29"/>
      <c r="U42" s="29"/>
    </row>
    <row r="43" spans="1:21" x14ac:dyDescent="0.25">
      <c r="A43" s="208"/>
      <c r="B43" s="167"/>
      <c r="C43" s="208"/>
      <c r="D43" s="54" t="s">
        <v>12</v>
      </c>
      <c r="E43" s="46">
        <f>SUM(F43:J43)</f>
        <v>1353266.7026799999</v>
      </c>
      <c r="F43" s="46">
        <f t="shared" ref="F43:J45" si="5">F31+F19+F13+F25+F37</f>
        <v>245866.39267000003</v>
      </c>
      <c r="G43" s="46">
        <f t="shared" si="5"/>
        <v>267858.53200000001</v>
      </c>
      <c r="H43" s="46">
        <f t="shared" si="5"/>
        <v>277093.59266999998</v>
      </c>
      <c r="I43" s="46">
        <f t="shared" si="5"/>
        <v>281224.09266999998</v>
      </c>
      <c r="J43" s="46">
        <f t="shared" si="5"/>
        <v>281224.09266999998</v>
      </c>
      <c r="K43" s="162"/>
      <c r="L43" s="208"/>
      <c r="M43" s="208"/>
      <c r="N43" s="208"/>
      <c r="O43" s="208"/>
      <c r="P43" s="208"/>
      <c r="Q43" s="162"/>
      <c r="R43" s="28"/>
      <c r="S43" s="29"/>
      <c r="T43" s="29"/>
      <c r="U43" s="29"/>
    </row>
    <row r="44" spans="1:21" x14ac:dyDescent="0.25">
      <c r="A44" s="208"/>
      <c r="B44" s="167"/>
      <c r="C44" s="208"/>
      <c r="D44" s="54" t="s">
        <v>13</v>
      </c>
      <c r="E44" s="46">
        <f>SUM(F44:J44)</f>
        <v>45429.383999999998</v>
      </c>
      <c r="F44" s="46">
        <f t="shared" si="5"/>
        <v>3494.5680000000002</v>
      </c>
      <c r="G44" s="46">
        <f t="shared" si="5"/>
        <v>10483.704</v>
      </c>
      <c r="H44" s="46">
        <f t="shared" si="5"/>
        <v>10483.704</v>
      </c>
      <c r="I44" s="46">
        <f t="shared" si="5"/>
        <v>10483.704</v>
      </c>
      <c r="J44" s="46">
        <f t="shared" si="5"/>
        <v>10483.704</v>
      </c>
      <c r="K44" s="162"/>
      <c r="L44" s="208"/>
      <c r="M44" s="208"/>
      <c r="N44" s="208"/>
      <c r="O44" s="208"/>
      <c r="P44" s="208"/>
      <c r="Q44" s="162"/>
      <c r="R44" s="28"/>
      <c r="S44" s="29"/>
      <c r="T44" s="29"/>
      <c r="U44" s="29"/>
    </row>
    <row r="45" spans="1:21" x14ac:dyDescent="0.25">
      <c r="A45" s="209"/>
      <c r="B45" s="168"/>
      <c r="C45" s="209"/>
      <c r="D45" s="54" t="s">
        <v>14</v>
      </c>
      <c r="E45" s="46">
        <f>SUM(F45:J45)</f>
        <v>36732.400000000001</v>
      </c>
      <c r="F45" s="46">
        <f t="shared" si="5"/>
        <v>6825.2</v>
      </c>
      <c r="G45" s="46">
        <f t="shared" si="5"/>
        <v>7151.8</v>
      </c>
      <c r="H45" s="46">
        <f t="shared" si="5"/>
        <v>7451.8</v>
      </c>
      <c r="I45" s="46">
        <f t="shared" si="5"/>
        <v>7651.8</v>
      </c>
      <c r="J45" s="46">
        <f t="shared" si="5"/>
        <v>7651.8</v>
      </c>
      <c r="K45" s="163"/>
      <c r="L45" s="209"/>
      <c r="M45" s="209"/>
      <c r="N45" s="209"/>
      <c r="O45" s="209"/>
      <c r="P45" s="209"/>
      <c r="Q45" s="163"/>
      <c r="R45" s="28"/>
      <c r="S45" s="29"/>
      <c r="T45" s="29"/>
      <c r="U45" s="29"/>
    </row>
    <row r="46" spans="1:21" x14ac:dyDescent="0.25">
      <c r="A46" s="58" t="s">
        <v>20</v>
      </c>
      <c r="B46" s="210" t="s">
        <v>186</v>
      </c>
      <c r="C46" s="211"/>
      <c r="D46" s="211"/>
      <c r="E46" s="211"/>
      <c r="F46" s="211"/>
      <c r="G46" s="211"/>
      <c r="H46" s="211"/>
      <c r="I46" s="211"/>
      <c r="J46" s="211"/>
      <c r="K46" s="211"/>
      <c r="L46" s="211"/>
      <c r="M46" s="211"/>
      <c r="N46" s="211"/>
      <c r="O46" s="211"/>
      <c r="P46" s="211"/>
      <c r="Q46" s="212"/>
      <c r="R46" s="28"/>
    </row>
    <row r="47" spans="1:21" ht="15" customHeight="1" x14ac:dyDescent="0.25">
      <c r="A47" s="166" t="s">
        <v>24</v>
      </c>
      <c r="B47" s="158" t="s">
        <v>63</v>
      </c>
      <c r="C47" s="158" t="s">
        <v>173</v>
      </c>
      <c r="D47" s="54" t="s">
        <v>9</v>
      </c>
      <c r="E47" s="46">
        <f t="shared" ref="E47:J47" si="6">SUM(E48:E52)</f>
        <v>15479.6</v>
      </c>
      <c r="F47" s="46">
        <f t="shared" si="6"/>
        <v>2611.2000000000003</v>
      </c>
      <c r="G47" s="46">
        <f t="shared" si="6"/>
        <v>3217.1</v>
      </c>
      <c r="H47" s="46">
        <f t="shared" si="6"/>
        <v>3217.1</v>
      </c>
      <c r="I47" s="46">
        <f t="shared" si="6"/>
        <v>3217.1</v>
      </c>
      <c r="J47" s="46">
        <f t="shared" si="6"/>
        <v>3217.1</v>
      </c>
      <c r="K47" s="186" t="s">
        <v>107</v>
      </c>
      <c r="L47" s="169">
        <v>420</v>
      </c>
      <c r="M47" s="169">
        <v>420</v>
      </c>
      <c r="N47" s="169">
        <v>420</v>
      </c>
      <c r="O47" s="169">
        <v>420</v>
      </c>
      <c r="P47" s="169">
        <v>420</v>
      </c>
      <c r="Q47" s="158" t="s">
        <v>189</v>
      </c>
      <c r="R47" s="28"/>
    </row>
    <row r="48" spans="1:21" x14ac:dyDescent="0.25">
      <c r="A48" s="167"/>
      <c r="B48" s="159"/>
      <c r="C48" s="159"/>
      <c r="D48" s="155" t="s">
        <v>10</v>
      </c>
      <c r="E48" s="156"/>
      <c r="F48" s="156"/>
      <c r="G48" s="156"/>
      <c r="H48" s="156"/>
      <c r="I48" s="156"/>
      <c r="J48" s="157"/>
      <c r="K48" s="187"/>
      <c r="L48" s="170"/>
      <c r="M48" s="170"/>
      <c r="N48" s="170"/>
      <c r="O48" s="170"/>
      <c r="P48" s="170"/>
      <c r="Q48" s="159"/>
      <c r="R48" s="28"/>
    </row>
    <row r="49" spans="1:18" x14ac:dyDescent="0.25">
      <c r="A49" s="167"/>
      <c r="B49" s="159"/>
      <c r="C49" s="159"/>
      <c r="D49" s="54" t="s">
        <v>11</v>
      </c>
      <c r="E49" s="46">
        <f>SUM(F49:J49)</f>
        <v>0</v>
      </c>
      <c r="F49" s="46">
        <f t="shared" ref="F49:J50" si="7">F55+F67+F61</f>
        <v>0</v>
      </c>
      <c r="G49" s="46">
        <f t="shared" si="7"/>
        <v>0</v>
      </c>
      <c r="H49" s="46">
        <f t="shared" si="7"/>
        <v>0</v>
      </c>
      <c r="I49" s="46">
        <f t="shared" si="7"/>
        <v>0</v>
      </c>
      <c r="J49" s="46">
        <f t="shared" si="7"/>
        <v>0</v>
      </c>
      <c r="K49" s="187"/>
      <c r="L49" s="170"/>
      <c r="M49" s="170"/>
      <c r="N49" s="170"/>
      <c r="O49" s="170"/>
      <c r="P49" s="170"/>
      <c r="Q49" s="159"/>
      <c r="R49" s="28"/>
    </row>
    <row r="50" spans="1:18" x14ac:dyDescent="0.25">
      <c r="A50" s="167"/>
      <c r="B50" s="159"/>
      <c r="C50" s="159"/>
      <c r="D50" s="54" t="s">
        <v>12</v>
      </c>
      <c r="E50" s="46">
        <f>SUM(F50:J50)</f>
        <v>15479.6</v>
      </c>
      <c r="F50" s="46">
        <f t="shared" si="7"/>
        <v>2611.2000000000003</v>
      </c>
      <c r="G50" s="46">
        <f t="shared" si="7"/>
        <v>3217.1</v>
      </c>
      <c r="H50" s="46">
        <f t="shared" si="7"/>
        <v>3217.1</v>
      </c>
      <c r="I50" s="46">
        <f t="shared" si="7"/>
        <v>3217.1</v>
      </c>
      <c r="J50" s="46">
        <f t="shared" si="7"/>
        <v>3217.1</v>
      </c>
      <c r="K50" s="187"/>
      <c r="L50" s="170"/>
      <c r="M50" s="170"/>
      <c r="N50" s="170"/>
      <c r="O50" s="170"/>
      <c r="P50" s="170"/>
      <c r="Q50" s="159"/>
      <c r="R50" s="28"/>
    </row>
    <row r="51" spans="1:18" x14ac:dyDescent="0.25">
      <c r="A51" s="167"/>
      <c r="B51" s="159"/>
      <c r="C51" s="159"/>
      <c r="D51" s="54" t="s">
        <v>13</v>
      </c>
      <c r="E51" s="46">
        <f>SUM(F51:J51)</f>
        <v>0</v>
      </c>
      <c r="F51" s="46">
        <f t="shared" ref="F51:J52" si="8">F57+F69</f>
        <v>0</v>
      </c>
      <c r="G51" s="46">
        <f t="shared" si="8"/>
        <v>0</v>
      </c>
      <c r="H51" s="46">
        <f t="shared" si="8"/>
        <v>0</v>
      </c>
      <c r="I51" s="46">
        <f t="shared" si="8"/>
        <v>0</v>
      </c>
      <c r="J51" s="46">
        <f t="shared" si="8"/>
        <v>0</v>
      </c>
      <c r="K51" s="187"/>
      <c r="L51" s="170"/>
      <c r="M51" s="170"/>
      <c r="N51" s="170"/>
      <c r="O51" s="170"/>
      <c r="P51" s="170"/>
      <c r="Q51" s="159"/>
      <c r="R51" s="28"/>
    </row>
    <row r="52" spans="1:18" x14ac:dyDescent="0.25">
      <c r="A52" s="168"/>
      <c r="B52" s="160"/>
      <c r="C52" s="160"/>
      <c r="D52" s="54" t="s">
        <v>14</v>
      </c>
      <c r="E52" s="46">
        <f>SUM(F52:J52)</f>
        <v>0</v>
      </c>
      <c r="F52" s="46">
        <f t="shared" si="8"/>
        <v>0</v>
      </c>
      <c r="G52" s="46">
        <f t="shared" si="8"/>
        <v>0</v>
      </c>
      <c r="H52" s="46">
        <f t="shared" si="8"/>
        <v>0</v>
      </c>
      <c r="I52" s="46">
        <f t="shared" si="8"/>
        <v>0</v>
      </c>
      <c r="J52" s="46">
        <f t="shared" si="8"/>
        <v>0</v>
      </c>
      <c r="K52" s="188"/>
      <c r="L52" s="171"/>
      <c r="M52" s="171"/>
      <c r="N52" s="171"/>
      <c r="O52" s="171"/>
      <c r="P52" s="171"/>
      <c r="Q52" s="160"/>
      <c r="R52" s="28"/>
    </row>
    <row r="53" spans="1:18" ht="15" customHeight="1" x14ac:dyDescent="0.25">
      <c r="A53" s="191" t="s">
        <v>72</v>
      </c>
      <c r="B53" s="158" t="s">
        <v>98</v>
      </c>
      <c r="C53" s="158" t="s">
        <v>173</v>
      </c>
      <c r="D53" s="54" t="s">
        <v>9</v>
      </c>
      <c r="E53" s="46">
        <f t="shared" ref="E53:J53" si="9">SUM(E54:E58)</f>
        <v>38.4</v>
      </c>
      <c r="F53" s="46">
        <f t="shared" si="9"/>
        <v>38.4</v>
      </c>
      <c r="G53" s="46">
        <f t="shared" si="9"/>
        <v>0</v>
      </c>
      <c r="H53" s="46">
        <f t="shared" si="9"/>
        <v>0</v>
      </c>
      <c r="I53" s="46">
        <f t="shared" si="9"/>
        <v>0</v>
      </c>
      <c r="J53" s="46">
        <f t="shared" si="9"/>
        <v>0</v>
      </c>
      <c r="K53" s="186"/>
      <c r="L53" s="169"/>
      <c r="M53" s="169"/>
      <c r="N53" s="169"/>
      <c r="O53" s="169"/>
      <c r="P53" s="169"/>
      <c r="Q53" s="158" t="s">
        <v>188</v>
      </c>
      <c r="R53" s="28"/>
    </row>
    <row r="54" spans="1:18" x14ac:dyDescent="0.25">
      <c r="A54" s="167"/>
      <c r="B54" s="159"/>
      <c r="C54" s="159"/>
      <c r="D54" s="155" t="s">
        <v>10</v>
      </c>
      <c r="E54" s="156"/>
      <c r="F54" s="156"/>
      <c r="G54" s="156"/>
      <c r="H54" s="156"/>
      <c r="I54" s="156"/>
      <c r="J54" s="157"/>
      <c r="K54" s="187"/>
      <c r="L54" s="170"/>
      <c r="M54" s="170"/>
      <c r="N54" s="170"/>
      <c r="O54" s="170"/>
      <c r="P54" s="170"/>
      <c r="Q54" s="159"/>
      <c r="R54" s="28"/>
    </row>
    <row r="55" spans="1:18" x14ac:dyDescent="0.25">
      <c r="A55" s="167"/>
      <c r="B55" s="159"/>
      <c r="C55" s="159"/>
      <c r="D55" s="54" t="s">
        <v>11</v>
      </c>
      <c r="E55" s="46">
        <f>SUM(F55:J55)</f>
        <v>0</v>
      </c>
      <c r="F55" s="46">
        <f>ROUND(F67*0.015,2)</f>
        <v>0</v>
      </c>
      <c r="G55" s="46">
        <f t="shared" ref="G55:J55" si="10">ROUND(G67*0.015,2)</f>
        <v>0</v>
      </c>
      <c r="H55" s="46">
        <f t="shared" si="10"/>
        <v>0</v>
      </c>
      <c r="I55" s="46">
        <f t="shared" si="10"/>
        <v>0</v>
      </c>
      <c r="J55" s="46">
        <f t="shared" si="10"/>
        <v>0</v>
      </c>
      <c r="K55" s="187"/>
      <c r="L55" s="170"/>
      <c r="M55" s="170"/>
      <c r="N55" s="170"/>
      <c r="O55" s="170"/>
      <c r="P55" s="170"/>
      <c r="Q55" s="159"/>
      <c r="R55" s="28"/>
    </row>
    <row r="56" spans="1:18" x14ac:dyDescent="0.25">
      <c r="A56" s="167"/>
      <c r="B56" s="159"/>
      <c r="C56" s="159"/>
      <c r="D56" s="54" t="s">
        <v>12</v>
      </c>
      <c r="E56" s="46">
        <f>SUM(F56:J56)</f>
        <v>38.4</v>
      </c>
      <c r="F56" s="46">
        <f>ROUND(F68*0.015,2)</f>
        <v>38.4</v>
      </c>
      <c r="G56" s="46">
        <v>0</v>
      </c>
      <c r="H56" s="46">
        <v>0</v>
      </c>
      <c r="I56" s="46">
        <v>0</v>
      </c>
      <c r="J56" s="46">
        <v>0</v>
      </c>
      <c r="K56" s="187"/>
      <c r="L56" s="170"/>
      <c r="M56" s="170"/>
      <c r="N56" s="170"/>
      <c r="O56" s="170"/>
      <c r="P56" s="170"/>
      <c r="Q56" s="159"/>
      <c r="R56" s="28"/>
    </row>
    <row r="57" spans="1:18" x14ac:dyDescent="0.25">
      <c r="A57" s="167"/>
      <c r="B57" s="159"/>
      <c r="C57" s="159"/>
      <c r="D57" s="54" t="s">
        <v>13</v>
      </c>
      <c r="E57" s="46">
        <f>SUM(F57:J57)</f>
        <v>0</v>
      </c>
      <c r="F57" s="46"/>
      <c r="G57" s="46"/>
      <c r="H57" s="46"/>
      <c r="I57" s="46"/>
      <c r="J57" s="46"/>
      <c r="K57" s="187"/>
      <c r="L57" s="170"/>
      <c r="M57" s="170"/>
      <c r="N57" s="170"/>
      <c r="O57" s="170"/>
      <c r="P57" s="170"/>
      <c r="Q57" s="159"/>
      <c r="R57" s="28"/>
    </row>
    <row r="58" spans="1:18" x14ac:dyDescent="0.25">
      <c r="A58" s="168"/>
      <c r="B58" s="160"/>
      <c r="C58" s="160"/>
      <c r="D58" s="54" t="s">
        <v>14</v>
      </c>
      <c r="E58" s="46">
        <f>SUM(F58:J58)</f>
        <v>0</v>
      </c>
      <c r="F58" s="46"/>
      <c r="G58" s="46"/>
      <c r="H58" s="46"/>
      <c r="I58" s="46"/>
      <c r="J58" s="46"/>
      <c r="K58" s="188"/>
      <c r="L58" s="171"/>
      <c r="M58" s="171"/>
      <c r="N58" s="171"/>
      <c r="O58" s="171"/>
      <c r="P58" s="171"/>
      <c r="Q58" s="160"/>
      <c r="R58" s="28"/>
    </row>
    <row r="59" spans="1:18" ht="15" customHeight="1" x14ac:dyDescent="0.25">
      <c r="A59" s="166" t="s">
        <v>75</v>
      </c>
      <c r="B59" s="158" t="s">
        <v>222</v>
      </c>
      <c r="C59" s="158" t="s">
        <v>173</v>
      </c>
      <c r="D59" s="54" t="s">
        <v>9</v>
      </c>
      <c r="E59" s="46">
        <f t="shared" ref="E59:J59" si="11">SUM(E60:E64)</f>
        <v>76.8</v>
      </c>
      <c r="F59" s="46">
        <f t="shared" si="11"/>
        <v>12.8</v>
      </c>
      <c r="G59" s="46">
        <f t="shared" si="11"/>
        <v>16</v>
      </c>
      <c r="H59" s="46">
        <f t="shared" si="11"/>
        <v>16</v>
      </c>
      <c r="I59" s="46">
        <f t="shared" si="11"/>
        <v>16</v>
      </c>
      <c r="J59" s="46">
        <f t="shared" si="11"/>
        <v>16</v>
      </c>
      <c r="K59" s="186"/>
      <c r="L59" s="169"/>
      <c r="M59" s="169"/>
      <c r="N59" s="169"/>
      <c r="O59" s="169"/>
      <c r="P59" s="169"/>
      <c r="Q59" s="158" t="s">
        <v>83</v>
      </c>
      <c r="R59" s="28"/>
    </row>
    <row r="60" spans="1:18" x14ac:dyDescent="0.25">
      <c r="A60" s="167"/>
      <c r="B60" s="159"/>
      <c r="C60" s="159"/>
      <c r="D60" s="155" t="s">
        <v>10</v>
      </c>
      <c r="E60" s="156"/>
      <c r="F60" s="156"/>
      <c r="G60" s="156"/>
      <c r="H60" s="156"/>
      <c r="I60" s="156"/>
      <c r="J60" s="157"/>
      <c r="K60" s="187"/>
      <c r="L60" s="170"/>
      <c r="M60" s="170"/>
      <c r="N60" s="170"/>
      <c r="O60" s="170"/>
      <c r="P60" s="170"/>
      <c r="Q60" s="159"/>
      <c r="R60" s="28"/>
    </row>
    <row r="61" spans="1:18" x14ac:dyDescent="0.25">
      <c r="A61" s="167"/>
      <c r="B61" s="159"/>
      <c r="C61" s="159"/>
      <c r="D61" s="54" t="s">
        <v>11</v>
      </c>
      <c r="E61" s="46">
        <f>SUM(F61:J61)</f>
        <v>0</v>
      </c>
      <c r="F61" s="46"/>
      <c r="G61" s="46"/>
      <c r="H61" s="46"/>
      <c r="I61" s="46"/>
      <c r="J61" s="46"/>
      <c r="K61" s="187"/>
      <c r="L61" s="170"/>
      <c r="M61" s="170"/>
      <c r="N61" s="170"/>
      <c r="O61" s="170"/>
      <c r="P61" s="170"/>
      <c r="Q61" s="159"/>
      <c r="R61" s="28"/>
    </row>
    <row r="62" spans="1:18" x14ac:dyDescent="0.25">
      <c r="A62" s="167"/>
      <c r="B62" s="159"/>
      <c r="C62" s="159"/>
      <c r="D62" s="54" t="s">
        <v>12</v>
      </c>
      <c r="E62" s="46">
        <f>SUM(F62:J62)</f>
        <v>76.8</v>
      </c>
      <c r="F62" s="46">
        <v>12.8</v>
      </c>
      <c r="G62" s="46">
        <v>16</v>
      </c>
      <c r="H62" s="46">
        <v>16</v>
      </c>
      <c r="I62" s="46">
        <v>16</v>
      </c>
      <c r="J62" s="46">
        <v>16</v>
      </c>
      <c r="K62" s="187"/>
      <c r="L62" s="170"/>
      <c r="M62" s="170"/>
      <c r="N62" s="170"/>
      <c r="O62" s="170"/>
      <c r="P62" s="170"/>
      <c r="Q62" s="159"/>
      <c r="R62" s="28"/>
    </row>
    <row r="63" spans="1:18" x14ac:dyDescent="0.25">
      <c r="A63" s="167"/>
      <c r="B63" s="159"/>
      <c r="C63" s="159"/>
      <c r="D63" s="54" t="s">
        <v>13</v>
      </c>
      <c r="E63" s="46">
        <f>SUM(F63:J63)</f>
        <v>0</v>
      </c>
      <c r="F63" s="46"/>
      <c r="G63" s="46"/>
      <c r="H63" s="46"/>
      <c r="I63" s="46"/>
      <c r="J63" s="46"/>
      <c r="K63" s="187"/>
      <c r="L63" s="170"/>
      <c r="M63" s="170"/>
      <c r="N63" s="170"/>
      <c r="O63" s="170"/>
      <c r="P63" s="170"/>
      <c r="Q63" s="159"/>
      <c r="R63" s="28"/>
    </row>
    <row r="64" spans="1:18" ht="23.25" customHeight="1" x14ac:dyDescent="0.25">
      <c r="A64" s="168"/>
      <c r="B64" s="160"/>
      <c r="C64" s="160"/>
      <c r="D64" s="54" t="s">
        <v>14</v>
      </c>
      <c r="E64" s="46">
        <f>SUM(F64:J64)</f>
        <v>0</v>
      </c>
      <c r="F64" s="46"/>
      <c r="G64" s="46"/>
      <c r="H64" s="46"/>
      <c r="I64" s="46"/>
      <c r="J64" s="46"/>
      <c r="K64" s="188"/>
      <c r="L64" s="171"/>
      <c r="M64" s="171"/>
      <c r="N64" s="171"/>
      <c r="O64" s="171"/>
      <c r="P64" s="171"/>
      <c r="Q64" s="160"/>
      <c r="R64" s="28"/>
    </row>
    <row r="65" spans="1:21" ht="18" customHeight="1" x14ac:dyDescent="0.25">
      <c r="A65" s="166" t="s">
        <v>77</v>
      </c>
      <c r="B65" s="158" t="s">
        <v>63</v>
      </c>
      <c r="C65" s="158" t="s">
        <v>173</v>
      </c>
      <c r="D65" s="54" t="s">
        <v>9</v>
      </c>
      <c r="E65" s="46">
        <f t="shared" ref="E65:J65" si="12">SUM(E66:E70)</f>
        <v>15364.400000000001</v>
      </c>
      <c r="F65" s="46">
        <f t="shared" si="12"/>
        <v>2560</v>
      </c>
      <c r="G65" s="46">
        <f t="shared" si="12"/>
        <v>3201.1</v>
      </c>
      <c r="H65" s="46">
        <f t="shared" si="12"/>
        <v>3201.1</v>
      </c>
      <c r="I65" s="46">
        <f t="shared" si="12"/>
        <v>3201.1</v>
      </c>
      <c r="J65" s="46">
        <f t="shared" si="12"/>
        <v>3201.1</v>
      </c>
      <c r="K65" s="182" t="s">
        <v>106</v>
      </c>
      <c r="L65" s="169">
        <v>100</v>
      </c>
      <c r="M65" s="169">
        <v>100</v>
      </c>
      <c r="N65" s="169">
        <v>100</v>
      </c>
      <c r="O65" s="169">
        <v>100</v>
      </c>
      <c r="P65" s="169">
        <v>100</v>
      </c>
      <c r="Q65" s="158" t="s">
        <v>83</v>
      </c>
      <c r="R65" s="28"/>
    </row>
    <row r="66" spans="1:21" ht="18" customHeight="1" x14ac:dyDescent="0.25">
      <c r="A66" s="167"/>
      <c r="B66" s="159"/>
      <c r="C66" s="159"/>
      <c r="D66" s="155" t="s">
        <v>10</v>
      </c>
      <c r="E66" s="156"/>
      <c r="F66" s="156"/>
      <c r="G66" s="156"/>
      <c r="H66" s="156"/>
      <c r="I66" s="156"/>
      <c r="J66" s="157"/>
      <c r="K66" s="183"/>
      <c r="L66" s="170"/>
      <c r="M66" s="170"/>
      <c r="N66" s="170"/>
      <c r="O66" s="170"/>
      <c r="P66" s="170"/>
      <c r="Q66" s="159"/>
      <c r="R66" s="28"/>
    </row>
    <row r="67" spans="1:21" x14ac:dyDescent="0.25">
      <c r="A67" s="167"/>
      <c r="B67" s="159"/>
      <c r="C67" s="159"/>
      <c r="D67" s="54" t="s">
        <v>11</v>
      </c>
      <c r="E67" s="46">
        <f>SUM(F67:J67)</f>
        <v>0</v>
      </c>
      <c r="F67" s="46"/>
      <c r="G67" s="46"/>
      <c r="H67" s="46"/>
      <c r="I67" s="46"/>
      <c r="J67" s="46"/>
      <c r="K67" s="183"/>
      <c r="L67" s="170"/>
      <c r="M67" s="170"/>
      <c r="N67" s="170"/>
      <c r="O67" s="170"/>
      <c r="P67" s="170"/>
      <c r="Q67" s="159"/>
      <c r="R67" s="28"/>
    </row>
    <row r="68" spans="1:21" x14ac:dyDescent="0.25">
      <c r="A68" s="167"/>
      <c r="B68" s="159"/>
      <c r="C68" s="159"/>
      <c r="D68" s="54" t="s">
        <v>12</v>
      </c>
      <c r="E68" s="46">
        <f>SUM(F68:J68)</f>
        <v>15364.400000000001</v>
      </c>
      <c r="F68" s="46">
        <v>2560</v>
      </c>
      <c r="G68" s="46">
        <v>3201.1</v>
      </c>
      <c r="H68" s="46">
        <v>3201.1</v>
      </c>
      <c r="I68" s="46">
        <v>3201.1</v>
      </c>
      <c r="J68" s="46">
        <v>3201.1</v>
      </c>
      <c r="K68" s="183"/>
      <c r="L68" s="170"/>
      <c r="M68" s="170"/>
      <c r="N68" s="170"/>
      <c r="O68" s="170"/>
      <c r="P68" s="170"/>
      <c r="Q68" s="159"/>
      <c r="R68" s="28"/>
    </row>
    <row r="69" spans="1:21" x14ac:dyDescent="0.25">
      <c r="A69" s="167"/>
      <c r="B69" s="159"/>
      <c r="C69" s="159"/>
      <c r="D69" s="54" t="s">
        <v>13</v>
      </c>
      <c r="E69" s="46">
        <f>SUM(F69:J69)</f>
        <v>0</v>
      </c>
      <c r="F69" s="46"/>
      <c r="G69" s="46"/>
      <c r="H69" s="46"/>
      <c r="I69" s="46"/>
      <c r="J69" s="46"/>
      <c r="K69" s="183"/>
      <c r="L69" s="170"/>
      <c r="M69" s="170"/>
      <c r="N69" s="170"/>
      <c r="O69" s="170"/>
      <c r="P69" s="170"/>
      <c r="Q69" s="159"/>
      <c r="R69" s="28"/>
    </row>
    <row r="70" spans="1:21" x14ac:dyDescent="0.25">
      <c r="A70" s="168"/>
      <c r="B70" s="160"/>
      <c r="C70" s="160"/>
      <c r="D70" s="54" t="s">
        <v>14</v>
      </c>
      <c r="E70" s="46">
        <f>SUM(F70:J70)</f>
        <v>0</v>
      </c>
      <c r="F70" s="46"/>
      <c r="G70" s="46"/>
      <c r="H70" s="46"/>
      <c r="I70" s="46"/>
      <c r="J70" s="46"/>
      <c r="K70" s="184"/>
      <c r="L70" s="171"/>
      <c r="M70" s="171"/>
      <c r="N70" s="171"/>
      <c r="O70" s="171"/>
      <c r="P70" s="171"/>
      <c r="Q70" s="160"/>
      <c r="R70" s="28"/>
    </row>
    <row r="71" spans="1:21" x14ac:dyDescent="0.25">
      <c r="A71" s="207"/>
      <c r="B71" s="166" t="s">
        <v>23</v>
      </c>
      <c r="C71" s="207"/>
      <c r="D71" s="54" t="s">
        <v>9</v>
      </c>
      <c r="E71" s="46">
        <f>SUM(E72:E76)</f>
        <v>15479.6</v>
      </c>
      <c r="F71" s="46">
        <f>F73+F74+F75+F76</f>
        <v>2611.2000000000003</v>
      </c>
      <c r="G71" s="46">
        <f>G73+G74+G75+G76</f>
        <v>3217.1</v>
      </c>
      <c r="H71" s="46">
        <f>H73+H74+H75+H76</f>
        <v>3217.1</v>
      </c>
      <c r="I71" s="46">
        <f>I73+I74+I75+I76</f>
        <v>3217.1</v>
      </c>
      <c r="J71" s="46">
        <f>J73+J74+J75+J76</f>
        <v>3217.1</v>
      </c>
      <c r="K71" s="161"/>
      <c r="L71" s="207"/>
      <c r="M71" s="207"/>
      <c r="N71" s="207"/>
      <c r="O71" s="207"/>
      <c r="P71" s="207"/>
      <c r="Q71" s="158"/>
      <c r="R71" s="28"/>
      <c r="S71" s="29"/>
      <c r="T71" s="29"/>
      <c r="U71" s="29"/>
    </row>
    <row r="72" spans="1:21" x14ac:dyDescent="0.25">
      <c r="A72" s="208"/>
      <c r="B72" s="167"/>
      <c r="C72" s="208"/>
      <c r="D72" s="155" t="s">
        <v>10</v>
      </c>
      <c r="E72" s="156"/>
      <c r="F72" s="156"/>
      <c r="G72" s="156"/>
      <c r="H72" s="156"/>
      <c r="I72" s="156"/>
      <c r="J72" s="157"/>
      <c r="K72" s="162"/>
      <c r="L72" s="208"/>
      <c r="M72" s="208"/>
      <c r="N72" s="208"/>
      <c r="O72" s="208"/>
      <c r="P72" s="208"/>
      <c r="Q72" s="159"/>
      <c r="R72" s="28"/>
      <c r="S72" s="29"/>
      <c r="T72" s="29"/>
      <c r="U72" s="29"/>
    </row>
    <row r="73" spans="1:21" x14ac:dyDescent="0.25">
      <c r="A73" s="208"/>
      <c r="B73" s="167"/>
      <c r="C73" s="208"/>
      <c r="D73" s="54" t="s">
        <v>11</v>
      </c>
      <c r="E73" s="46">
        <f>SUM(F73:J73)</f>
        <v>0</v>
      </c>
      <c r="F73" s="46">
        <f t="shared" ref="F73:J76" si="13">F49</f>
        <v>0</v>
      </c>
      <c r="G73" s="46">
        <f t="shared" si="13"/>
        <v>0</v>
      </c>
      <c r="H73" s="46">
        <f t="shared" si="13"/>
        <v>0</v>
      </c>
      <c r="I73" s="46">
        <f t="shared" si="13"/>
        <v>0</v>
      </c>
      <c r="J73" s="46">
        <f t="shared" si="13"/>
        <v>0</v>
      </c>
      <c r="K73" s="162"/>
      <c r="L73" s="208"/>
      <c r="M73" s="208"/>
      <c r="N73" s="208"/>
      <c r="O73" s="208"/>
      <c r="P73" s="208"/>
      <c r="Q73" s="159"/>
      <c r="R73" s="28"/>
      <c r="S73" s="29"/>
      <c r="T73" s="29"/>
      <c r="U73" s="29"/>
    </row>
    <row r="74" spans="1:21" x14ac:dyDescent="0.25">
      <c r="A74" s="208"/>
      <c r="B74" s="167"/>
      <c r="C74" s="208"/>
      <c r="D74" s="54" t="s">
        <v>12</v>
      </c>
      <c r="E74" s="46">
        <f>SUM(F74:J74)</f>
        <v>15479.6</v>
      </c>
      <c r="F74" s="46">
        <f t="shared" si="13"/>
        <v>2611.2000000000003</v>
      </c>
      <c r="G74" s="46">
        <f t="shared" si="13"/>
        <v>3217.1</v>
      </c>
      <c r="H74" s="46">
        <f t="shared" si="13"/>
        <v>3217.1</v>
      </c>
      <c r="I74" s="46">
        <f t="shared" si="13"/>
        <v>3217.1</v>
      </c>
      <c r="J74" s="46">
        <f t="shared" si="13"/>
        <v>3217.1</v>
      </c>
      <c r="K74" s="162"/>
      <c r="L74" s="208"/>
      <c r="M74" s="208"/>
      <c r="N74" s="208"/>
      <c r="O74" s="208"/>
      <c r="P74" s="208"/>
      <c r="Q74" s="159"/>
      <c r="R74" s="28"/>
      <c r="S74" s="29"/>
      <c r="T74" s="29"/>
      <c r="U74" s="29"/>
    </row>
    <row r="75" spans="1:21" x14ac:dyDescent="0.25">
      <c r="A75" s="208"/>
      <c r="B75" s="167"/>
      <c r="C75" s="208"/>
      <c r="D75" s="54" t="s">
        <v>13</v>
      </c>
      <c r="E75" s="46">
        <f>SUM(F75:J75)</f>
        <v>0</v>
      </c>
      <c r="F75" s="46">
        <f t="shared" si="13"/>
        <v>0</v>
      </c>
      <c r="G75" s="46">
        <f t="shared" si="13"/>
        <v>0</v>
      </c>
      <c r="H75" s="46">
        <f t="shared" si="13"/>
        <v>0</v>
      </c>
      <c r="I75" s="46">
        <f t="shared" si="13"/>
        <v>0</v>
      </c>
      <c r="J75" s="46">
        <f t="shared" si="13"/>
        <v>0</v>
      </c>
      <c r="K75" s="162"/>
      <c r="L75" s="208"/>
      <c r="M75" s="208"/>
      <c r="N75" s="208"/>
      <c r="O75" s="208"/>
      <c r="P75" s="208"/>
      <c r="Q75" s="159"/>
      <c r="R75" s="28"/>
      <c r="S75" s="29"/>
      <c r="T75" s="29"/>
      <c r="U75" s="29"/>
    </row>
    <row r="76" spans="1:21" x14ac:dyDescent="0.25">
      <c r="A76" s="209"/>
      <c r="B76" s="168"/>
      <c r="C76" s="209"/>
      <c r="D76" s="54" t="s">
        <v>14</v>
      </c>
      <c r="E76" s="46">
        <f>SUM(F76:J76)</f>
        <v>0</v>
      </c>
      <c r="F76" s="46">
        <f t="shared" si="13"/>
        <v>0</v>
      </c>
      <c r="G76" s="46">
        <f t="shared" si="13"/>
        <v>0</v>
      </c>
      <c r="H76" s="46">
        <f t="shared" si="13"/>
        <v>0</v>
      </c>
      <c r="I76" s="46">
        <f t="shared" si="13"/>
        <v>0</v>
      </c>
      <c r="J76" s="46">
        <f t="shared" si="13"/>
        <v>0</v>
      </c>
      <c r="K76" s="163"/>
      <c r="L76" s="209"/>
      <c r="M76" s="209"/>
      <c r="N76" s="209"/>
      <c r="O76" s="209"/>
      <c r="P76" s="209"/>
      <c r="Q76" s="160"/>
      <c r="R76" s="28"/>
      <c r="S76" s="29"/>
      <c r="T76" s="29"/>
      <c r="U76" s="29"/>
    </row>
    <row r="77" spans="1:21" x14ac:dyDescent="0.25">
      <c r="A77" s="107">
        <v>3</v>
      </c>
      <c r="B77" s="185" t="s">
        <v>187</v>
      </c>
      <c r="C77" s="185"/>
      <c r="D77" s="185"/>
      <c r="E77" s="185"/>
      <c r="F77" s="185"/>
      <c r="G77" s="185"/>
      <c r="H77" s="185"/>
      <c r="I77" s="185"/>
      <c r="J77" s="185"/>
      <c r="K77" s="185"/>
      <c r="L77" s="185"/>
      <c r="M77" s="185"/>
      <c r="N77" s="185"/>
      <c r="O77" s="185"/>
      <c r="P77" s="185"/>
      <c r="Q77" s="185"/>
      <c r="R77" s="28"/>
    </row>
    <row r="78" spans="1:21" ht="15" customHeight="1" x14ac:dyDescent="0.25">
      <c r="A78" s="166" t="s">
        <v>67</v>
      </c>
      <c r="B78" s="173" t="s">
        <v>218</v>
      </c>
      <c r="C78" s="158" t="s">
        <v>173</v>
      </c>
      <c r="D78" s="54" t="s">
        <v>9</v>
      </c>
      <c r="E78" s="46">
        <f t="shared" ref="E78:J78" si="14">SUM(E79:E83)</f>
        <v>19933.155409999999</v>
      </c>
      <c r="F78" s="46">
        <f t="shared" si="14"/>
        <v>3478.1554100000003</v>
      </c>
      <c r="G78" s="46">
        <f t="shared" si="14"/>
        <v>4187.8</v>
      </c>
      <c r="H78" s="46">
        <f t="shared" si="14"/>
        <v>4022.4</v>
      </c>
      <c r="I78" s="46">
        <f t="shared" si="14"/>
        <v>4022.4</v>
      </c>
      <c r="J78" s="46">
        <f t="shared" si="14"/>
        <v>4222.3999999999996</v>
      </c>
      <c r="K78" s="179" t="s">
        <v>108</v>
      </c>
      <c r="L78" s="169">
        <v>250</v>
      </c>
      <c r="M78" s="169">
        <v>250</v>
      </c>
      <c r="N78" s="169">
        <v>250</v>
      </c>
      <c r="O78" s="169">
        <v>250</v>
      </c>
      <c r="P78" s="169">
        <v>250</v>
      </c>
      <c r="Q78" s="202" t="s">
        <v>171</v>
      </c>
      <c r="R78" s="28"/>
    </row>
    <row r="79" spans="1:21" x14ac:dyDescent="0.25">
      <c r="A79" s="167"/>
      <c r="B79" s="174"/>
      <c r="C79" s="159"/>
      <c r="D79" s="155" t="s">
        <v>10</v>
      </c>
      <c r="E79" s="156"/>
      <c r="F79" s="156"/>
      <c r="G79" s="156"/>
      <c r="H79" s="156"/>
      <c r="I79" s="156"/>
      <c r="J79" s="157"/>
      <c r="K79" s="180"/>
      <c r="L79" s="170"/>
      <c r="M79" s="170"/>
      <c r="N79" s="170"/>
      <c r="O79" s="170"/>
      <c r="P79" s="170"/>
      <c r="Q79" s="203"/>
      <c r="R79" s="28"/>
    </row>
    <row r="80" spans="1:21" x14ac:dyDescent="0.25">
      <c r="A80" s="167"/>
      <c r="B80" s="174"/>
      <c r="C80" s="159"/>
      <c r="D80" s="54" t="s">
        <v>11</v>
      </c>
      <c r="E80" s="46">
        <f>SUM(F80:J80)</f>
        <v>19933.155409999999</v>
      </c>
      <c r="F80" s="46">
        <f t="shared" ref="F80:J83" si="15">F86+F92+F98</f>
        <v>3478.1554100000003</v>
      </c>
      <c r="G80" s="46">
        <f t="shared" si="15"/>
        <v>4187.8</v>
      </c>
      <c r="H80" s="46">
        <f t="shared" si="15"/>
        <v>4022.4</v>
      </c>
      <c r="I80" s="46">
        <f t="shared" si="15"/>
        <v>4022.4</v>
      </c>
      <c r="J80" s="46">
        <f t="shared" si="15"/>
        <v>4222.3999999999996</v>
      </c>
      <c r="K80" s="180"/>
      <c r="L80" s="170"/>
      <c r="M80" s="170"/>
      <c r="N80" s="170"/>
      <c r="O80" s="170"/>
      <c r="P80" s="170"/>
      <c r="Q80" s="203"/>
      <c r="R80" s="28"/>
    </row>
    <row r="81" spans="1:18" x14ac:dyDescent="0.25">
      <c r="A81" s="167"/>
      <c r="B81" s="174"/>
      <c r="C81" s="159"/>
      <c r="D81" s="54" t="s">
        <v>12</v>
      </c>
      <c r="E81" s="46">
        <f>SUM(F81:J81)</f>
        <v>0</v>
      </c>
      <c r="F81" s="46">
        <f t="shared" si="15"/>
        <v>0</v>
      </c>
      <c r="G81" s="46">
        <f t="shared" si="15"/>
        <v>0</v>
      </c>
      <c r="H81" s="46">
        <f t="shared" si="15"/>
        <v>0</v>
      </c>
      <c r="I81" s="46">
        <f t="shared" si="15"/>
        <v>0</v>
      </c>
      <c r="J81" s="46">
        <f t="shared" si="15"/>
        <v>0</v>
      </c>
      <c r="K81" s="180"/>
      <c r="L81" s="170"/>
      <c r="M81" s="170"/>
      <c r="N81" s="170"/>
      <c r="O81" s="170"/>
      <c r="P81" s="170"/>
      <c r="Q81" s="203"/>
      <c r="R81" s="28"/>
    </row>
    <row r="82" spans="1:18" x14ac:dyDescent="0.25">
      <c r="A82" s="167"/>
      <c r="B82" s="174"/>
      <c r="C82" s="159"/>
      <c r="D82" s="54" t="s">
        <v>13</v>
      </c>
      <c r="E82" s="46">
        <f>SUM(F82:J82)</f>
        <v>0</v>
      </c>
      <c r="F82" s="46">
        <f t="shared" si="15"/>
        <v>0</v>
      </c>
      <c r="G82" s="46">
        <f t="shared" si="15"/>
        <v>0</v>
      </c>
      <c r="H82" s="46">
        <f t="shared" si="15"/>
        <v>0</v>
      </c>
      <c r="I82" s="46">
        <f t="shared" si="15"/>
        <v>0</v>
      </c>
      <c r="J82" s="46">
        <f t="shared" si="15"/>
        <v>0</v>
      </c>
      <c r="K82" s="180"/>
      <c r="L82" s="170"/>
      <c r="M82" s="170"/>
      <c r="N82" s="170"/>
      <c r="O82" s="170"/>
      <c r="P82" s="170"/>
      <c r="Q82" s="203"/>
      <c r="R82" s="28"/>
    </row>
    <row r="83" spans="1:18" x14ac:dyDescent="0.25">
      <c r="A83" s="167"/>
      <c r="B83" s="175"/>
      <c r="C83" s="160"/>
      <c r="D83" s="54" t="s">
        <v>14</v>
      </c>
      <c r="E83" s="46">
        <f>SUM(F83:J83)</f>
        <v>0</v>
      </c>
      <c r="F83" s="46">
        <f t="shared" si="15"/>
        <v>0</v>
      </c>
      <c r="G83" s="46">
        <f t="shared" si="15"/>
        <v>0</v>
      </c>
      <c r="H83" s="46">
        <f t="shared" si="15"/>
        <v>0</v>
      </c>
      <c r="I83" s="46">
        <f t="shared" si="15"/>
        <v>0</v>
      </c>
      <c r="J83" s="46">
        <f t="shared" si="15"/>
        <v>0</v>
      </c>
      <c r="K83" s="181"/>
      <c r="L83" s="171"/>
      <c r="M83" s="171"/>
      <c r="N83" s="171"/>
      <c r="O83" s="171"/>
      <c r="P83" s="171"/>
      <c r="Q83" s="204"/>
      <c r="R83" s="28"/>
    </row>
    <row r="84" spans="1:18" ht="15" customHeight="1" x14ac:dyDescent="0.25">
      <c r="A84" s="189" t="s">
        <v>219</v>
      </c>
      <c r="B84" s="173" t="s">
        <v>179</v>
      </c>
      <c r="C84" s="158" t="s">
        <v>173</v>
      </c>
      <c r="D84" s="54" t="s">
        <v>9</v>
      </c>
      <c r="E84" s="46">
        <f t="shared" ref="E84:J84" si="16">SUM(E85:E89)</f>
        <v>8981.8630000000012</v>
      </c>
      <c r="F84" s="46">
        <f t="shared" si="16"/>
        <v>1781.8630000000001</v>
      </c>
      <c r="G84" s="46">
        <f t="shared" si="16"/>
        <v>1700</v>
      </c>
      <c r="H84" s="46">
        <f t="shared" si="16"/>
        <v>1800</v>
      </c>
      <c r="I84" s="46">
        <f t="shared" si="16"/>
        <v>1800</v>
      </c>
      <c r="J84" s="46">
        <f t="shared" si="16"/>
        <v>1900</v>
      </c>
      <c r="K84" s="186" t="s">
        <v>109</v>
      </c>
      <c r="L84" s="169">
        <v>100</v>
      </c>
      <c r="M84" s="169">
        <v>100</v>
      </c>
      <c r="N84" s="169">
        <v>100</v>
      </c>
      <c r="O84" s="169">
        <v>100</v>
      </c>
      <c r="P84" s="169">
        <v>100</v>
      </c>
      <c r="Q84" s="186" t="s">
        <v>159</v>
      </c>
      <c r="R84" s="28"/>
    </row>
    <row r="85" spans="1:18" x14ac:dyDescent="0.25">
      <c r="A85" s="189"/>
      <c r="B85" s="174"/>
      <c r="C85" s="159"/>
      <c r="D85" s="155" t="s">
        <v>10</v>
      </c>
      <c r="E85" s="156"/>
      <c r="F85" s="156"/>
      <c r="G85" s="156"/>
      <c r="H85" s="156"/>
      <c r="I85" s="156"/>
      <c r="J85" s="157"/>
      <c r="K85" s="187"/>
      <c r="L85" s="170"/>
      <c r="M85" s="170"/>
      <c r="N85" s="170"/>
      <c r="O85" s="170"/>
      <c r="P85" s="170"/>
      <c r="Q85" s="187"/>
      <c r="R85" s="28"/>
    </row>
    <row r="86" spans="1:18" x14ac:dyDescent="0.25">
      <c r="A86" s="189"/>
      <c r="B86" s="174"/>
      <c r="C86" s="159"/>
      <c r="D86" s="54" t="s">
        <v>11</v>
      </c>
      <c r="E86" s="46">
        <f>SUM(F86:J86)</f>
        <v>8981.8630000000012</v>
      </c>
      <c r="F86" s="46">
        <f>1817.433-35.57</f>
        <v>1781.8630000000001</v>
      </c>
      <c r="G86" s="46">
        <v>1700</v>
      </c>
      <c r="H86" s="46">
        <v>1800</v>
      </c>
      <c r="I86" s="46">
        <v>1800</v>
      </c>
      <c r="J86" s="46">
        <v>1900</v>
      </c>
      <c r="K86" s="187"/>
      <c r="L86" s="170"/>
      <c r="M86" s="170"/>
      <c r="N86" s="170"/>
      <c r="O86" s="170"/>
      <c r="P86" s="170"/>
      <c r="Q86" s="187"/>
      <c r="R86" s="28"/>
    </row>
    <row r="87" spans="1:18" x14ac:dyDescent="0.25">
      <c r="A87" s="189"/>
      <c r="B87" s="174"/>
      <c r="C87" s="159"/>
      <c r="D87" s="54" t="s">
        <v>12</v>
      </c>
      <c r="E87" s="46">
        <f>SUM(F87:J87)</f>
        <v>0</v>
      </c>
      <c r="F87" s="46"/>
      <c r="G87" s="46"/>
      <c r="H87" s="46"/>
      <c r="I87" s="46"/>
      <c r="J87" s="46"/>
      <c r="K87" s="187"/>
      <c r="L87" s="170"/>
      <c r="M87" s="170"/>
      <c r="N87" s="170"/>
      <c r="O87" s="170"/>
      <c r="P87" s="170"/>
      <c r="Q87" s="187"/>
      <c r="R87" s="28"/>
    </row>
    <row r="88" spans="1:18" x14ac:dyDescent="0.25">
      <c r="A88" s="189"/>
      <c r="B88" s="174"/>
      <c r="C88" s="159"/>
      <c r="D88" s="54" t="s">
        <v>13</v>
      </c>
      <c r="E88" s="46">
        <f>SUM(F88:J88)</f>
        <v>0</v>
      </c>
      <c r="F88" s="46"/>
      <c r="G88" s="46"/>
      <c r="H88" s="46"/>
      <c r="I88" s="46"/>
      <c r="J88" s="46"/>
      <c r="K88" s="187"/>
      <c r="L88" s="170"/>
      <c r="M88" s="170"/>
      <c r="N88" s="170"/>
      <c r="O88" s="170"/>
      <c r="P88" s="170"/>
      <c r="Q88" s="187"/>
      <c r="R88" s="28"/>
    </row>
    <row r="89" spans="1:18" x14ac:dyDescent="0.25">
      <c r="A89" s="189"/>
      <c r="B89" s="175"/>
      <c r="C89" s="160"/>
      <c r="D89" s="54" t="s">
        <v>14</v>
      </c>
      <c r="E89" s="46">
        <f>SUM(F89:J89)</f>
        <v>0</v>
      </c>
      <c r="F89" s="46"/>
      <c r="G89" s="46"/>
      <c r="H89" s="46"/>
      <c r="I89" s="46"/>
      <c r="J89" s="46"/>
      <c r="K89" s="188"/>
      <c r="L89" s="171"/>
      <c r="M89" s="171"/>
      <c r="N89" s="171"/>
      <c r="O89" s="171"/>
      <c r="P89" s="171"/>
      <c r="Q89" s="188"/>
      <c r="R89" s="28"/>
    </row>
    <row r="90" spans="1:18" ht="15" customHeight="1" x14ac:dyDescent="0.25">
      <c r="A90" s="166" t="s">
        <v>220</v>
      </c>
      <c r="B90" s="173" t="s">
        <v>179</v>
      </c>
      <c r="C90" s="158" t="s">
        <v>173</v>
      </c>
      <c r="D90" s="54" t="s">
        <v>9</v>
      </c>
      <c r="E90" s="46">
        <f t="shared" ref="E90:J90" si="17">SUM(E91:E95)</f>
        <v>7841.29241</v>
      </c>
      <c r="F90" s="46">
        <f t="shared" si="17"/>
        <v>1036.29241</v>
      </c>
      <c r="G90" s="46">
        <f t="shared" si="17"/>
        <v>1687.8</v>
      </c>
      <c r="H90" s="46">
        <f t="shared" si="17"/>
        <v>1772.4</v>
      </c>
      <c r="I90" s="46">
        <f t="shared" si="17"/>
        <v>1772.4</v>
      </c>
      <c r="J90" s="46">
        <f t="shared" si="17"/>
        <v>1572.4</v>
      </c>
      <c r="K90" s="186" t="s">
        <v>109</v>
      </c>
      <c r="L90" s="169">
        <v>100</v>
      </c>
      <c r="M90" s="169">
        <v>100</v>
      </c>
      <c r="N90" s="169">
        <v>100</v>
      </c>
      <c r="O90" s="169">
        <v>100</v>
      </c>
      <c r="P90" s="169">
        <v>100</v>
      </c>
      <c r="Q90" s="186" t="s">
        <v>172</v>
      </c>
      <c r="R90" s="28"/>
    </row>
    <row r="91" spans="1:18" x14ac:dyDescent="0.25">
      <c r="A91" s="167"/>
      <c r="B91" s="174"/>
      <c r="C91" s="159"/>
      <c r="D91" s="155" t="s">
        <v>10</v>
      </c>
      <c r="E91" s="156"/>
      <c r="F91" s="156"/>
      <c r="G91" s="156"/>
      <c r="H91" s="156"/>
      <c r="I91" s="156"/>
      <c r="J91" s="157"/>
      <c r="K91" s="187"/>
      <c r="L91" s="170"/>
      <c r="M91" s="170"/>
      <c r="N91" s="170"/>
      <c r="O91" s="170"/>
      <c r="P91" s="170"/>
      <c r="Q91" s="187"/>
      <c r="R91" s="28"/>
    </row>
    <row r="92" spans="1:18" x14ac:dyDescent="0.25">
      <c r="A92" s="167"/>
      <c r="B92" s="174"/>
      <c r="C92" s="159"/>
      <c r="D92" s="54" t="s">
        <v>11</v>
      </c>
      <c r="E92" s="46">
        <f>SUM(F92:J92)</f>
        <v>7841.29241</v>
      </c>
      <c r="F92" s="46">
        <f>1600-243.70759-150-170</f>
        <v>1036.29241</v>
      </c>
      <c r="G92" s="46">
        <f>1700-12.2</f>
        <v>1687.8</v>
      </c>
      <c r="H92" s="46">
        <f>1800-27.6</f>
        <v>1772.4</v>
      </c>
      <c r="I92" s="46">
        <f>1800-27.6</f>
        <v>1772.4</v>
      </c>
      <c r="J92" s="46">
        <f>1600-27.6</f>
        <v>1572.4</v>
      </c>
      <c r="K92" s="187"/>
      <c r="L92" s="170"/>
      <c r="M92" s="170"/>
      <c r="N92" s="170"/>
      <c r="O92" s="170"/>
      <c r="P92" s="170"/>
      <c r="Q92" s="187"/>
      <c r="R92" s="28"/>
    </row>
    <row r="93" spans="1:18" x14ac:dyDescent="0.25">
      <c r="A93" s="167"/>
      <c r="B93" s="174"/>
      <c r="C93" s="159"/>
      <c r="D93" s="54" t="s">
        <v>12</v>
      </c>
      <c r="E93" s="46">
        <f>SUM(F93:J93)</f>
        <v>0</v>
      </c>
      <c r="F93" s="46"/>
      <c r="G93" s="46"/>
      <c r="H93" s="46"/>
      <c r="I93" s="46"/>
      <c r="J93" s="46"/>
      <c r="K93" s="187"/>
      <c r="L93" s="170"/>
      <c r="M93" s="170"/>
      <c r="N93" s="170"/>
      <c r="O93" s="170"/>
      <c r="P93" s="170"/>
      <c r="Q93" s="187"/>
      <c r="R93" s="28"/>
    </row>
    <row r="94" spans="1:18" x14ac:dyDescent="0.25">
      <c r="A94" s="167"/>
      <c r="B94" s="174"/>
      <c r="C94" s="159"/>
      <c r="D94" s="54" t="s">
        <v>13</v>
      </c>
      <c r="E94" s="46">
        <f>SUM(F94:J94)</f>
        <v>0</v>
      </c>
      <c r="F94" s="46"/>
      <c r="G94" s="46"/>
      <c r="H94" s="46"/>
      <c r="I94" s="46"/>
      <c r="J94" s="46"/>
      <c r="K94" s="187"/>
      <c r="L94" s="170"/>
      <c r="M94" s="170"/>
      <c r="N94" s="170"/>
      <c r="O94" s="170"/>
      <c r="P94" s="170"/>
      <c r="Q94" s="187"/>
      <c r="R94" s="28"/>
    </row>
    <row r="95" spans="1:18" x14ac:dyDescent="0.25">
      <c r="A95" s="167"/>
      <c r="B95" s="175"/>
      <c r="C95" s="160"/>
      <c r="D95" s="54" t="s">
        <v>14</v>
      </c>
      <c r="E95" s="46">
        <f>SUM(F95:J95)</f>
        <v>0</v>
      </c>
      <c r="F95" s="46"/>
      <c r="G95" s="46"/>
      <c r="H95" s="46"/>
      <c r="I95" s="46"/>
      <c r="J95" s="46"/>
      <c r="K95" s="188"/>
      <c r="L95" s="171"/>
      <c r="M95" s="171"/>
      <c r="N95" s="171"/>
      <c r="O95" s="171"/>
      <c r="P95" s="171"/>
      <c r="Q95" s="188"/>
      <c r="R95" s="28"/>
    </row>
    <row r="96" spans="1:18" ht="15" customHeight="1" x14ac:dyDescent="0.25">
      <c r="A96" s="166" t="s">
        <v>221</v>
      </c>
      <c r="B96" s="173" t="s">
        <v>179</v>
      </c>
      <c r="C96" s="158" t="s">
        <v>173</v>
      </c>
      <c r="D96" s="54" t="s">
        <v>9</v>
      </c>
      <c r="E96" s="46">
        <f t="shared" ref="E96:J96" si="18">SUM(E97:E101)</f>
        <v>3110</v>
      </c>
      <c r="F96" s="46">
        <f t="shared" si="18"/>
        <v>660</v>
      </c>
      <c r="G96" s="46">
        <f t="shared" si="18"/>
        <v>800</v>
      </c>
      <c r="H96" s="46">
        <f t="shared" si="18"/>
        <v>450</v>
      </c>
      <c r="I96" s="46">
        <f t="shared" si="18"/>
        <v>450</v>
      </c>
      <c r="J96" s="46">
        <f t="shared" si="18"/>
        <v>750</v>
      </c>
      <c r="K96" s="186" t="s">
        <v>109</v>
      </c>
      <c r="L96" s="169">
        <v>100</v>
      </c>
      <c r="M96" s="169">
        <v>100</v>
      </c>
      <c r="N96" s="169">
        <v>100</v>
      </c>
      <c r="O96" s="169">
        <v>100</v>
      </c>
      <c r="P96" s="169">
        <v>100</v>
      </c>
      <c r="Q96" s="179" t="s">
        <v>160</v>
      </c>
      <c r="R96" s="28"/>
    </row>
    <row r="97" spans="1:21" x14ac:dyDescent="0.25">
      <c r="A97" s="167"/>
      <c r="B97" s="174"/>
      <c r="C97" s="159"/>
      <c r="D97" s="155" t="s">
        <v>10</v>
      </c>
      <c r="E97" s="156"/>
      <c r="F97" s="156"/>
      <c r="G97" s="156"/>
      <c r="H97" s="156"/>
      <c r="I97" s="156"/>
      <c r="J97" s="157"/>
      <c r="K97" s="187"/>
      <c r="L97" s="170"/>
      <c r="M97" s="170"/>
      <c r="N97" s="170"/>
      <c r="O97" s="170"/>
      <c r="P97" s="170"/>
      <c r="Q97" s="180"/>
      <c r="R97" s="28"/>
    </row>
    <row r="98" spans="1:21" x14ac:dyDescent="0.25">
      <c r="A98" s="167"/>
      <c r="B98" s="174"/>
      <c r="C98" s="159"/>
      <c r="D98" s="54" t="s">
        <v>11</v>
      </c>
      <c r="E98" s="46">
        <f>SUM(F98:J98)</f>
        <v>3110</v>
      </c>
      <c r="F98" s="46">
        <v>660</v>
      </c>
      <c r="G98" s="46">
        <v>800</v>
      </c>
      <c r="H98" s="46">
        <v>450</v>
      </c>
      <c r="I98" s="46">
        <v>450</v>
      </c>
      <c r="J98" s="46">
        <v>750</v>
      </c>
      <c r="K98" s="187"/>
      <c r="L98" s="170"/>
      <c r="M98" s="170"/>
      <c r="N98" s="170"/>
      <c r="O98" s="170"/>
      <c r="P98" s="170"/>
      <c r="Q98" s="180"/>
      <c r="R98" s="28"/>
    </row>
    <row r="99" spans="1:21" x14ac:dyDescent="0.25">
      <c r="A99" s="167"/>
      <c r="B99" s="174"/>
      <c r="C99" s="159"/>
      <c r="D99" s="54" t="s">
        <v>12</v>
      </c>
      <c r="E99" s="46">
        <f>SUM(F99:J99)</f>
        <v>0</v>
      </c>
      <c r="F99" s="46"/>
      <c r="G99" s="46"/>
      <c r="H99" s="46"/>
      <c r="I99" s="46"/>
      <c r="J99" s="46"/>
      <c r="K99" s="187"/>
      <c r="L99" s="170"/>
      <c r="M99" s="170"/>
      <c r="N99" s="170"/>
      <c r="O99" s="170"/>
      <c r="P99" s="170"/>
      <c r="Q99" s="180"/>
      <c r="R99" s="28"/>
    </row>
    <row r="100" spans="1:21" x14ac:dyDescent="0.25">
      <c r="A100" s="167"/>
      <c r="B100" s="174"/>
      <c r="C100" s="159"/>
      <c r="D100" s="54" t="s">
        <v>13</v>
      </c>
      <c r="E100" s="46">
        <f>SUM(F100:J100)</f>
        <v>0</v>
      </c>
      <c r="F100" s="46"/>
      <c r="G100" s="46"/>
      <c r="H100" s="46"/>
      <c r="I100" s="46"/>
      <c r="J100" s="46"/>
      <c r="K100" s="187"/>
      <c r="L100" s="170"/>
      <c r="M100" s="170"/>
      <c r="N100" s="170"/>
      <c r="O100" s="170"/>
      <c r="P100" s="170"/>
      <c r="Q100" s="180"/>
      <c r="R100" s="28"/>
    </row>
    <row r="101" spans="1:21" x14ac:dyDescent="0.25">
      <c r="A101" s="167"/>
      <c r="B101" s="175"/>
      <c r="C101" s="160"/>
      <c r="D101" s="54" t="s">
        <v>14</v>
      </c>
      <c r="E101" s="46">
        <f>SUM(F101:J101)</f>
        <v>0</v>
      </c>
      <c r="F101" s="46"/>
      <c r="G101" s="46"/>
      <c r="H101" s="46"/>
      <c r="I101" s="46"/>
      <c r="J101" s="46"/>
      <c r="K101" s="188"/>
      <c r="L101" s="171"/>
      <c r="M101" s="171"/>
      <c r="N101" s="171"/>
      <c r="O101" s="171"/>
      <c r="P101" s="171"/>
      <c r="Q101" s="181"/>
      <c r="R101" s="28"/>
    </row>
    <row r="102" spans="1:21" ht="35.25" customHeight="1" x14ac:dyDescent="0.25">
      <c r="A102" s="166" t="s">
        <v>208</v>
      </c>
      <c r="B102" s="173" t="s">
        <v>252</v>
      </c>
      <c r="C102" s="158" t="s">
        <v>164</v>
      </c>
      <c r="D102" s="54" t="s">
        <v>9</v>
      </c>
      <c r="E102" s="46">
        <f t="shared" ref="E102:J102" si="19">SUM(E103:E107)</f>
        <v>12.05</v>
      </c>
      <c r="F102" s="46">
        <f t="shared" si="19"/>
        <v>12.05</v>
      </c>
      <c r="G102" s="46">
        <f t="shared" si="19"/>
        <v>0</v>
      </c>
      <c r="H102" s="46">
        <f t="shared" si="19"/>
        <v>0</v>
      </c>
      <c r="I102" s="46">
        <f t="shared" si="19"/>
        <v>0</v>
      </c>
      <c r="J102" s="46">
        <f t="shared" si="19"/>
        <v>0</v>
      </c>
      <c r="K102" s="186" t="s">
        <v>109</v>
      </c>
      <c r="L102" s="169">
        <v>100</v>
      </c>
      <c r="M102" s="169"/>
      <c r="N102" s="169"/>
      <c r="O102" s="169"/>
      <c r="P102" s="169"/>
      <c r="Q102" s="179" t="s">
        <v>161</v>
      </c>
      <c r="R102" s="28"/>
    </row>
    <row r="103" spans="1:21" ht="35.25" customHeight="1" x14ac:dyDescent="0.25">
      <c r="A103" s="167"/>
      <c r="B103" s="174"/>
      <c r="C103" s="159"/>
      <c r="D103" s="155" t="s">
        <v>10</v>
      </c>
      <c r="E103" s="156"/>
      <c r="F103" s="156"/>
      <c r="G103" s="156"/>
      <c r="H103" s="156"/>
      <c r="I103" s="156"/>
      <c r="J103" s="157"/>
      <c r="K103" s="187"/>
      <c r="L103" s="170"/>
      <c r="M103" s="170"/>
      <c r="N103" s="170"/>
      <c r="O103" s="170"/>
      <c r="P103" s="170"/>
      <c r="Q103" s="180"/>
      <c r="R103" s="28"/>
    </row>
    <row r="104" spans="1:21" ht="35.25" customHeight="1" x14ac:dyDescent="0.25">
      <c r="A104" s="167"/>
      <c r="B104" s="174"/>
      <c r="C104" s="159"/>
      <c r="D104" s="54" t="s">
        <v>11</v>
      </c>
      <c r="E104" s="46">
        <f>SUM(F104:J104)</f>
        <v>12.05</v>
      </c>
      <c r="F104" s="46">
        <v>12.05</v>
      </c>
      <c r="G104" s="46"/>
      <c r="H104" s="46"/>
      <c r="I104" s="46"/>
      <c r="J104" s="46"/>
      <c r="K104" s="187"/>
      <c r="L104" s="170"/>
      <c r="M104" s="170"/>
      <c r="N104" s="170"/>
      <c r="O104" s="170"/>
      <c r="P104" s="170"/>
      <c r="Q104" s="180"/>
      <c r="R104" s="28"/>
    </row>
    <row r="105" spans="1:21" ht="35.25" customHeight="1" x14ac:dyDescent="0.25">
      <c r="A105" s="167"/>
      <c r="B105" s="174"/>
      <c r="C105" s="159"/>
      <c r="D105" s="54" t="s">
        <v>12</v>
      </c>
      <c r="E105" s="46">
        <f>SUM(F105:J105)</f>
        <v>0</v>
      </c>
      <c r="F105" s="46"/>
      <c r="G105" s="46"/>
      <c r="H105" s="46"/>
      <c r="I105" s="46"/>
      <c r="J105" s="46"/>
      <c r="K105" s="187"/>
      <c r="L105" s="170"/>
      <c r="M105" s="170"/>
      <c r="N105" s="170"/>
      <c r="O105" s="170"/>
      <c r="P105" s="170"/>
      <c r="Q105" s="180"/>
      <c r="R105" s="28"/>
    </row>
    <row r="106" spans="1:21" ht="35.25" customHeight="1" x14ac:dyDescent="0.25">
      <c r="A106" s="167"/>
      <c r="B106" s="174"/>
      <c r="C106" s="159"/>
      <c r="D106" s="54" t="s">
        <v>13</v>
      </c>
      <c r="E106" s="46">
        <f>SUM(F106:J106)</f>
        <v>0</v>
      </c>
      <c r="F106" s="46"/>
      <c r="G106" s="46"/>
      <c r="H106" s="46"/>
      <c r="I106" s="46"/>
      <c r="J106" s="46"/>
      <c r="K106" s="187"/>
      <c r="L106" s="170"/>
      <c r="M106" s="170"/>
      <c r="N106" s="170"/>
      <c r="O106" s="170"/>
      <c r="P106" s="170"/>
      <c r="Q106" s="180"/>
      <c r="R106" s="28"/>
    </row>
    <row r="107" spans="1:21" ht="35.25" customHeight="1" x14ac:dyDescent="0.25">
      <c r="A107" s="167"/>
      <c r="B107" s="175"/>
      <c r="C107" s="160"/>
      <c r="D107" s="54" t="s">
        <v>14</v>
      </c>
      <c r="E107" s="46">
        <f>SUM(F107:J107)</f>
        <v>0</v>
      </c>
      <c r="F107" s="46"/>
      <c r="G107" s="46"/>
      <c r="H107" s="46"/>
      <c r="I107" s="46"/>
      <c r="J107" s="46"/>
      <c r="K107" s="188"/>
      <c r="L107" s="171"/>
      <c r="M107" s="171"/>
      <c r="N107" s="171"/>
      <c r="O107" s="171"/>
      <c r="P107" s="171"/>
      <c r="Q107" s="181"/>
      <c r="R107" s="28"/>
    </row>
    <row r="108" spans="1:21" x14ac:dyDescent="0.25">
      <c r="A108" s="207"/>
      <c r="B108" s="166" t="s">
        <v>66</v>
      </c>
      <c r="C108" s="207"/>
      <c r="D108" s="54" t="s">
        <v>9</v>
      </c>
      <c r="E108" s="46">
        <f>SUM(E109:E113)</f>
        <v>19945.205410000002</v>
      </c>
      <c r="F108" s="46">
        <f>F110+F111+F112+F113</f>
        <v>3490.2054100000005</v>
      </c>
      <c r="G108" s="46">
        <f>G110+G111+G112+G113</f>
        <v>4187.8</v>
      </c>
      <c r="H108" s="46">
        <f>H110+H111+H112+H113</f>
        <v>4022.4</v>
      </c>
      <c r="I108" s="46">
        <f>I110+I111+I112+I113</f>
        <v>4022.4</v>
      </c>
      <c r="J108" s="46">
        <f>J110+J111+J112+J113</f>
        <v>4222.3999999999996</v>
      </c>
      <c r="K108" s="161"/>
      <c r="L108" s="207"/>
      <c r="M108" s="207"/>
      <c r="N108" s="207"/>
      <c r="O108" s="207"/>
      <c r="P108" s="207"/>
      <c r="Q108" s="161"/>
      <c r="R108" s="28"/>
      <c r="S108" s="29"/>
      <c r="T108" s="29"/>
      <c r="U108" s="29"/>
    </row>
    <row r="109" spans="1:21" x14ac:dyDescent="0.25">
      <c r="A109" s="208"/>
      <c r="B109" s="167"/>
      <c r="C109" s="208"/>
      <c r="D109" s="155" t="s">
        <v>10</v>
      </c>
      <c r="E109" s="156"/>
      <c r="F109" s="156"/>
      <c r="G109" s="156"/>
      <c r="H109" s="156"/>
      <c r="I109" s="156"/>
      <c r="J109" s="157"/>
      <c r="K109" s="162"/>
      <c r="L109" s="208"/>
      <c r="M109" s="208"/>
      <c r="N109" s="208"/>
      <c r="O109" s="208"/>
      <c r="P109" s="208"/>
      <c r="Q109" s="162"/>
      <c r="R109" s="28"/>
      <c r="S109" s="29"/>
      <c r="T109" s="29"/>
      <c r="U109" s="29"/>
    </row>
    <row r="110" spans="1:21" x14ac:dyDescent="0.25">
      <c r="A110" s="208"/>
      <c r="B110" s="167"/>
      <c r="C110" s="208"/>
      <c r="D110" s="54" t="s">
        <v>11</v>
      </c>
      <c r="E110" s="46">
        <f>SUM(F110:J110)</f>
        <v>19945.205410000002</v>
      </c>
      <c r="F110" s="46">
        <f t="shared" ref="F110:J113" si="20">F80+F104</f>
        <v>3490.2054100000005</v>
      </c>
      <c r="G110" s="46">
        <f t="shared" si="20"/>
        <v>4187.8</v>
      </c>
      <c r="H110" s="46">
        <f t="shared" si="20"/>
        <v>4022.4</v>
      </c>
      <c r="I110" s="46">
        <f t="shared" si="20"/>
        <v>4022.4</v>
      </c>
      <c r="J110" s="46">
        <f t="shared" si="20"/>
        <v>4222.3999999999996</v>
      </c>
      <c r="K110" s="162"/>
      <c r="L110" s="208"/>
      <c r="M110" s="208"/>
      <c r="N110" s="208"/>
      <c r="O110" s="208"/>
      <c r="P110" s="208"/>
      <c r="Q110" s="162"/>
      <c r="R110" s="28"/>
      <c r="S110" s="29"/>
      <c r="T110" s="29"/>
      <c r="U110" s="29"/>
    </row>
    <row r="111" spans="1:21" x14ac:dyDescent="0.25">
      <c r="A111" s="208"/>
      <c r="B111" s="167"/>
      <c r="C111" s="208"/>
      <c r="D111" s="54" t="s">
        <v>12</v>
      </c>
      <c r="E111" s="46">
        <f>SUM(F111:J111)</f>
        <v>0</v>
      </c>
      <c r="F111" s="46">
        <f t="shared" si="20"/>
        <v>0</v>
      </c>
      <c r="G111" s="46">
        <f t="shared" si="20"/>
        <v>0</v>
      </c>
      <c r="H111" s="46">
        <f t="shared" si="20"/>
        <v>0</v>
      </c>
      <c r="I111" s="46">
        <f t="shared" si="20"/>
        <v>0</v>
      </c>
      <c r="J111" s="46">
        <f t="shared" si="20"/>
        <v>0</v>
      </c>
      <c r="K111" s="162"/>
      <c r="L111" s="208"/>
      <c r="M111" s="208"/>
      <c r="N111" s="208"/>
      <c r="O111" s="208"/>
      <c r="P111" s="208"/>
      <c r="Q111" s="162"/>
      <c r="R111" s="28"/>
      <c r="S111" s="29"/>
      <c r="T111" s="29"/>
      <c r="U111" s="29"/>
    </row>
    <row r="112" spans="1:21" x14ac:dyDescent="0.25">
      <c r="A112" s="208"/>
      <c r="B112" s="167"/>
      <c r="C112" s="208"/>
      <c r="D112" s="54" t="s">
        <v>13</v>
      </c>
      <c r="E112" s="46">
        <f>SUM(F112:J112)</f>
        <v>0</v>
      </c>
      <c r="F112" s="46">
        <f t="shared" si="20"/>
        <v>0</v>
      </c>
      <c r="G112" s="46">
        <f t="shared" si="20"/>
        <v>0</v>
      </c>
      <c r="H112" s="46">
        <f t="shared" si="20"/>
        <v>0</v>
      </c>
      <c r="I112" s="46">
        <f t="shared" si="20"/>
        <v>0</v>
      </c>
      <c r="J112" s="46">
        <f t="shared" si="20"/>
        <v>0</v>
      </c>
      <c r="K112" s="162"/>
      <c r="L112" s="208"/>
      <c r="M112" s="208"/>
      <c r="N112" s="208"/>
      <c r="O112" s="208"/>
      <c r="P112" s="208"/>
      <c r="Q112" s="162"/>
      <c r="R112" s="28"/>
      <c r="S112" s="29"/>
      <c r="T112" s="29"/>
      <c r="U112" s="29"/>
    </row>
    <row r="113" spans="1:21" x14ac:dyDescent="0.25">
      <c r="A113" s="209"/>
      <c r="B113" s="168"/>
      <c r="C113" s="209"/>
      <c r="D113" s="54" t="s">
        <v>14</v>
      </c>
      <c r="E113" s="46">
        <f>SUM(F113:J113)</f>
        <v>0</v>
      </c>
      <c r="F113" s="46">
        <f t="shared" si="20"/>
        <v>0</v>
      </c>
      <c r="G113" s="46">
        <f t="shared" si="20"/>
        <v>0</v>
      </c>
      <c r="H113" s="46">
        <f t="shared" si="20"/>
        <v>0</v>
      </c>
      <c r="I113" s="46">
        <f t="shared" si="20"/>
        <v>0</v>
      </c>
      <c r="J113" s="46">
        <f t="shared" si="20"/>
        <v>0</v>
      </c>
      <c r="K113" s="163"/>
      <c r="L113" s="209"/>
      <c r="M113" s="209"/>
      <c r="N113" s="209"/>
      <c r="O113" s="209"/>
      <c r="P113" s="209"/>
      <c r="Q113" s="163"/>
      <c r="R113" s="28"/>
      <c r="S113" s="29"/>
      <c r="T113" s="29"/>
      <c r="U113" s="29"/>
    </row>
    <row r="114" spans="1:21" x14ac:dyDescent="0.25">
      <c r="A114" s="189"/>
      <c r="B114" s="213" t="s">
        <v>99</v>
      </c>
      <c r="C114" s="213"/>
      <c r="D114" s="55" t="s">
        <v>9</v>
      </c>
      <c r="E114" s="46">
        <f>SUM(E115:E119)</f>
        <v>2186576.6153500001</v>
      </c>
      <c r="F114" s="46">
        <f>F116+F117+F118+F119</f>
        <v>408073.97308000014</v>
      </c>
      <c r="G114" s="46">
        <f>G116+G117+G118+G119</f>
        <v>433772.40249999997</v>
      </c>
      <c r="H114" s="46">
        <f>H116+H117+H118+H119</f>
        <v>444797.84466999996</v>
      </c>
      <c r="I114" s="46">
        <f>I116+I117+I118+I119</f>
        <v>447024.44867000001</v>
      </c>
      <c r="J114" s="46">
        <f>J116+J117+J118+J119</f>
        <v>452907.94643000001</v>
      </c>
      <c r="K114" s="207"/>
      <c r="L114" s="207"/>
      <c r="M114" s="207"/>
      <c r="N114" s="207"/>
      <c r="O114" s="207"/>
      <c r="P114" s="207"/>
      <c r="Q114" s="161"/>
      <c r="R114" s="28"/>
    </row>
    <row r="115" spans="1:21" x14ac:dyDescent="0.25">
      <c r="A115" s="189"/>
      <c r="B115" s="213"/>
      <c r="C115" s="213"/>
      <c r="D115" s="156" t="s">
        <v>10</v>
      </c>
      <c r="E115" s="156"/>
      <c r="F115" s="156"/>
      <c r="G115" s="156"/>
      <c r="H115" s="156"/>
      <c r="I115" s="156"/>
      <c r="J115" s="157"/>
      <c r="K115" s="208"/>
      <c r="L115" s="208"/>
      <c r="M115" s="208"/>
      <c r="N115" s="208"/>
      <c r="O115" s="208"/>
      <c r="P115" s="208"/>
      <c r="Q115" s="162"/>
      <c r="R115" s="28"/>
    </row>
    <row r="116" spans="1:21" x14ac:dyDescent="0.25">
      <c r="A116" s="189"/>
      <c r="B116" s="213"/>
      <c r="C116" s="213"/>
      <c r="D116" s="55" t="s">
        <v>11</v>
      </c>
      <c r="E116" s="46">
        <f>SUM(F116:J116)</f>
        <v>735668.52867000003</v>
      </c>
      <c r="F116" s="46">
        <f t="shared" ref="F116:J119" si="21">F110+F73+F42</f>
        <v>149276.61241000003</v>
      </c>
      <c r="G116" s="46">
        <f t="shared" si="21"/>
        <v>145061.26649999997</v>
      </c>
      <c r="H116" s="46">
        <f t="shared" si="21"/>
        <v>146551.64799999999</v>
      </c>
      <c r="I116" s="46">
        <f t="shared" si="21"/>
        <v>144447.75200000001</v>
      </c>
      <c r="J116" s="46">
        <f t="shared" si="21"/>
        <v>150331.24976000004</v>
      </c>
      <c r="K116" s="208"/>
      <c r="L116" s="208"/>
      <c r="M116" s="208"/>
      <c r="N116" s="208"/>
      <c r="O116" s="208"/>
      <c r="P116" s="208"/>
      <c r="Q116" s="162"/>
      <c r="R116" s="28"/>
    </row>
    <row r="117" spans="1:21" x14ac:dyDescent="0.25">
      <c r="A117" s="189"/>
      <c r="B117" s="213"/>
      <c r="C117" s="213"/>
      <c r="D117" s="55" t="s">
        <v>12</v>
      </c>
      <c r="E117" s="46">
        <f>SUM(F117:J117)</f>
        <v>1368746.30268</v>
      </c>
      <c r="F117" s="46">
        <f t="shared" si="21"/>
        <v>248477.59267000004</v>
      </c>
      <c r="G117" s="46">
        <f t="shared" si="21"/>
        <v>271075.63199999998</v>
      </c>
      <c r="H117" s="46">
        <f t="shared" si="21"/>
        <v>280310.69266999996</v>
      </c>
      <c r="I117" s="46">
        <f t="shared" si="21"/>
        <v>284441.19266999996</v>
      </c>
      <c r="J117" s="46">
        <f t="shared" si="21"/>
        <v>284441.19266999996</v>
      </c>
      <c r="K117" s="208"/>
      <c r="L117" s="208"/>
      <c r="M117" s="208"/>
      <c r="N117" s="208"/>
      <c r="O117" s="208"/>
      <c r="P117" s="208"/>
      <c r="Q117" s="162"/>
      <c r="R117" s="28"/>
    </row>
    <row r="118" spans="1:21" x14ac:dyDescent="0.25">
      <c r="A118" s="189"/>
      <c r="B118" s="213"/>
      <c r="C118" s="213"/>
      <c r="D118" s="55" t="s">
        <v>13</v>
      </c>
      <c r="E118" s="46">
        <f>SUM(F118:J118)</f>
        <v>45429.383999999998</v>
      </c>
      <c r="F118" s="46">
        <f t="shared" si="21"/>
        <v>3494.5680000000002</v>
      </c>
      <c r="G118" s="46">
        <f t="shared" si="21"/>
        <v>10483.704</v>
      </c>
      <c r="H118" s="46">
        <f t="shared" si="21"/>
        <v>10483.704</v>
      </c>
      <c r="I118" s="46">
        <f t="shared" si="21"/>
        <v>10483.704</v>
      </c>
      <c r="J118" s="46">
        <f t="shared" si="21"/>
        <v>10483.704</v>
      </c>
      <c r="K118" s="208"/>
      <c r="L118" s="208"/>
      <c r="M118" s="208"/>
      <c r="N118" s="208"/>
      <c r="O118" s="208"/>
      <c r="P118" s="208"/>
      <c r="Q118" s="162"/>
      <c r="R118" s="28"/>
    </row>
    <row r="119" spans="1:21" x14ac:dyDescent="0.25">
      <c r="A119" s="189"/>
      <c r="B119" s="213"/>
      <c r="C119" s="213"/>
      <c r="D119" s="55" t="s">
        <v>14</v>
      </c>
      <c r="E119" s="46">
        <f>SUM(F119:J119)</f>
        <v>36732.400000000001</v>
      </c>
      <c r="F119" s="46">
        <f t="shared" si="21"/>
        <v>6825.2</v>
      </c>
      <c r="G119" s="46">
        <f t="shared" si="21"/>
        <v>7151.8</v>
      </c>
      <c r="H119" s="46">
        <f t="shared" si="21"/>
        <v>7451.8</v>
      </c>
      <c r="I119" s="46">
        <f t="shared" si="21"/>
        <v>7651.8</v>
      </c>
      <c r="J119" s="46">
        <f t="shared" si="21"/>
        <v>7651.8</v>
      </c>
      <c r="K119" s="209"/>
      <c r="L119" s="209"/>
      <c r="M119" s="209"/>
      <c r="N119" s="209"/>
      <c r="O119" s="209"/>
      <c r="P119" s="209"/>
      <c r="Q119" s="163"/>
      <c r="R119" s="28"/>
    </row>
  </sheetData>
  <mergeCells count="224">
    <mergeCell ref="Q108:Q113"/>
    <mergeCell ref="D109:J109"/>
    <mergeCell ref="A114:A119"/>
    <mergeCell ref="B114:B119"/>
    <mergeCell ref="C114:C119"/>
    <mergeCell ref="K114:K119"/>
    <mergeCell ref="L114:L119"/>
    <mergeCell ref="M114:M119"/>
    <mergeCell ref="N114:N119"/>
    <mergeCell ref="O114:O119"/>
    <mergeCell ref="P114:P119"/>
    <mergeCell ref="Q114:Q119"/>
    <mergeCell ref="D115:J115"/>
    <mergeCell ref="A108:A113"/>
    <mergeCell ref="B108:B113"/>
    <mergeCell ref="C108:C113"/>
    <mergeCell ref="K108:K113"/>
    <mergeCell ref="L108:L113"/>
    <mergeCell ref="M108:M113"/>
    <mergeCell ref="N108:N113"/>
    <mergeCell ref="O108:O113"/>
    <mergeCell ref="P108:P113"/>
    <mergeCell ref="B46:Q46"/>
    <mergeCell ref="A71:A76"/>
    <mergeCell ref="B71:B76"/>
    <mergeCell ref="C71:C76"/>
    <mergeCell ref="K71:K76"/>
    <mergeCell ref="L71:L76"/>
    <mergeCell ref="M71:M76"/>
    <mergeCell ref="N71:N76"/>
    <mergeCell ref="O71:O76"/>
    <mergeCell ref="P71:P76"/>
    <mergeCell ref="Q71:Q76"/>
    <mergeCell ref="D72:J72"/>
    <mergeCell ref="C47:C52"/>
    <mergeCell ref="B53:B58"/>
    <mergeCell ref="C53:C58"/>
    <mergeCell ref="M53:M58"/>
    <mergeCell ref="N53:N58"/>
    <mergeCell ref="O53:O58"/>
    <mergeCell ref="P53:P58"/>
    <mergeCell ref="Q65:Q70"/>
    <mergeCell ref="Q53:Q58"/>
    <mergeCell ref="D54:J54"/>
    <mergeCell ref="A40:A45"/>
    <mergeCell ref="B40:B45"/>
    <mergeCell ref="C40:C45"/>
    <mergeCell ref="K40:K45"/>
    <mergeCell ref="L40:L45"/>
    <mergeCell ref="M40:M45"/>
    <mergeCell ref="N40:N45"/>
    <mergeCell ref="O40:O45"/>
    <mergeCell ref="P40:P45"/>
    <mergeCell ref="D41:J41"/>
    <mergeCell ref="A102:A107"/>
    <mergeCell ref="B102:B107"/>
    <mergeCell ref="C102:C107"/>
    <mergeCell ref="D103:J103"/>
    <mergeCell ref="A96:A101"/>
    <mergeCell ref="B96:B101"/>
    <mergeCell ref="C96:C101"/>
    <mergeCell ref="K96:K101"/>
    <mergeCell ref="L96:L101"/>
    <mergeCell ref="M96:M101"/>
    <mergeCell ref="N96:N101"/>
    <mergeCell ref="O96:O101"/>
    <mergeCell ref="P96:P101"/>
    <mergeCell ref="D97:J97"/>
    <mergeCell ref="K102:K107"/>
    <mergeCell ref="L102:L107"/>
    <mergeCell ref="O102:O107"/>
    <mergeCell ref="P102:P107"/>
    <mergeCell ref="Q102:Q107"/>
    <mergeCell ref="M102:M107"/>
    <mergeCell ref="N102:N107"/>
    <mergeCell ref="Q96:Q101"/>
    <mergeCell ref="L22:L27"/>
    <mergeCell ref="O22:O27"/>
    <mergeCell ref="K59:K64"/>
    <mergeCell ref="L59:L64"/>
    <mergeCell ref="O59:O64"/>
    <mergeCell ref="P59:P64"/>
    <mergeCell ref="M47:M52"/>
    <mergeCell ref="N47:N52"/>
    <mergeCell ref="M59:M64"/>
    <mergeCell ref="K47:K52"/>
    <mergeCell ref="L47:L52"/>
    <mergeCell ref="O47:O52"/>
    <mergeCell ref="P47:P52"/>
    <mergeCell ref="M22:M27"/>
    <mergeCell ref="Q78:Q83"/>
    <mergeCell ref="O90:O95"/>
    <mergeCell ref="P90:P95"/>
    <mergeCell ref="K22:K27"/>
    <mergeCell ref="K53:K58"/>
    <mergeCell ref="L53:L58"/>
    <mergeCell ref="O1:Q1"/>
    <mergeCell ref="C16:C21"/>
    <mergeCell ref="D17:J17"/>
    <mergeCell ref="A3:Q3"/>
    <mergeCell ref="A5:A6"/>
    <mergeCell ref="B5:B6"/>
    <mergeCell ref="C5:C6"/>
    <mergeCell ref="D5:D6"/>
    <mergeCell ref="E5:J5"/>
    <mergeCell ref="K5:P5"/>
    <mergeCell ref="Q5:Q6"/>
    <mergeCell ref="A16:A21"/>
    <mergeCell ref="B16:B21"/>
    <mergeCell ref="Q10:Q15"/>
    <mergeCell ref="B9:Q9"/>
    <mergeCell ref="K11:K15"/>
    <mergeCell ref="L11:L15"/>
    <mergeCell ref="M11:M15"/>
    <mergeCell ref="N11:N15"/>
    <mergeCell ref="O11:O15"/>
    <mergeCell ref="K2:Q2"/>
    <mergeCell ref="Q16:Q21"/>
    <mergeCell ref="M19:M21"/>
    <mergeCell ref="P11:P15"/>
    <mergeCell ref="B8:Q8"/>
    <mergeCell ref="A10:A15"/>
    <mergeCell ref="B10:B15"/>
    <mergeCell ref="C10:C15"/>
    <mergeCell ref="D11:J11"/>
    <mergeCell ref="Q22:Q27"/>
    <mergeCell ref="D23:J23"/>
    <mergeCell ref="P22:P27"/>
    <mergeCell ref="Q59:Q64"/>
    <mergeCell ref="Q47:Q52"/>
    <mergeCell ref="Q28:Q33"/>
    <mergeCell ref="D60:J60"/>
    <mergeCell ref="D48:J48"/>
    <mergeCell ref="A22:A27"/>
    <mergeCell ref="B22:B27"/>
    <mergeCell ref="C22:C27"/>
    <mergeCell ref="N59:N64"/>
    <mergeCell ref="A59:A64"/>
    <mergeCell ref="A53:A58"/>
    <mergeCell ref="N19:N21"/>
    <mergeCell ref="O19:O21"/>
    <mergeCell ref="P19:P21"/>
    <mergeCell ref="A47:A52"/>
    <mergeCell ref="B47:B52"/>
    <mergeCell ref="Q90:Q95"/>
    <mergeCell ref="D91:J91"/>
    <mergeCell ref="M90:M95"/>
    <mergeCell ref="N90:N95"/>
    <mergeCell ref="A84:A89"/>
    <mergeCell ref="B84:B89"/>
    <mergeCell ref="C84:C89"/>
    <mergeCell ref="K84:K89"/>
    <mergeCell ref="L84:L89"/>
    <mergeCell ref="O84:O89"/>
    <mergeCell ref="P84:P89"/>
    <mergeCell ref="Q84:Q89"/>
    <mergeCell ref="D85:J85"/>
    <mergeCell ref="M84:M89"/>
    <mergeCell ref="N84:N89"/>
    <mergeCell ref="A90:A95"/>
    <mergeCell ref="B90:B95"/>
    <mergeCell ref="C90:C95"/>
    <mergeCell ref="K90:K95"/>
    <mergeCell ref="L90:L95"/>
    <mergeCell ref="A78:A83"/>
    <mergeCell ref="B78:B83"/>
    <mergeCell ref="C78:C83"/>
    <mergeCell ref="K78:K83"/>
    <mergeCell ref="L78:L83"/>
    <mergeCell ref="O78:O83"/>
    <mergeCell ref="P78:P83"/>
    <mergeCell ref="B59:B64"/>
    <mergeCell ref="C59:C64"/>
    <mergeCell ref="A65:A70"/>
    <mergeCell ref="B65:B70"/>
    <mergeCell ref="C65:C70"/>
    <mergeCell ref="K65:K70"/>
    <mergeCell ref="L65:L70"/>
    <mergeCell ref="M65:M70"/>
    <mergeCell ref="N65:N70"/>
    <mergeCell ref="O65:O70"/>
    <mergeCell ref="P65:P70"/>
    <mergeCell ref="D66:J66"/>
    <mergeCell ref="D79:J79"/>
    <mergeCell ref="M78:M83"/>
    <mergeCell ref="N78:N83"/>
    <mergeCell ref="B77:Q77"/>
    <mergeCell ref="A34:A39"/>
    <mergeCell ref="B34:B39"/>
    <mergeCell ref="C34:C39"/>
    <mergeCell ref="K34:K39"/>
    <mergeCell ref="L34:L39"/>
    <mergeCell ref="M34:M39"/>
    <mergeCell ref="N34:N39"/>
    <mergeCell ref="O34:O39"/>
    <mergeCell ref="P34:P39"/>
    <mergeCell ref="A28:A33"/>
    <mergeCell ref="N22:N27"/>
    <mergeCell ref="K28:K29"/>
    <mergeCell ref="L28:L29"/>
    <mergeCell ref="M28:M29"/>
    <mergeCell ref="N28:N29"/>
    <mergeCell ref="O28:O29"/>
    <mergeCell ref="P28:P29"/>
    <mergeCell ref="K30:K33"/>
    <mergeCell ref="L30:L33"/>
    <mergeCell ref="M30:M33"/>
    <mergeCell ref="N30:N33"/>
    <mergeCell ref="O30:O33"/>
    <mergeCell ref="P30:P33"/>
    <mergeCell ref="Q34:Q39"/>
    <mergeCell ref="D35:J35"/>
    <mergeCell ref="B28:B33"/>
    <mergeCell ref="C28:C33"/>
    <mergeCell ref="D29:J29"/>
    <mergeCell ref="Q40:Q45"/>
    <mergeCell ref="K16:K18"/>
    <mergeCell ref="L16:L18"/>
    <mergeCell ref="M16:M18"/>
    <mergeCell ref="N16:N18"/>
    <mergeCell ref="O16:O18"/>
    <mergeCell ref="P16:P18"/>
    <mergeCell ref="K19:K21"/>
    <mergeCell ref="L19:L21"/>
  </mergeCells>
  <pageMargins left="0.31496062992125984" right="0.31496062992125984" top="0.74803149606299213" bottom="0.55118110236220474" header="0.31496062992125984" footer="0.31496062992125984"/>
  <pageSetup paperSize="9" scale="71" firstPageNumber="7" fitToHeight="0" orientation="landscape" useFirstPageNumber="1" r:id="rId1"/>
  <rowBreaks count="3" manualBreakCount="3">
    <brk id="27" max="16383" man="1"/>
    <brk id="52" max="16383" man="1"/>
    <brk id="89"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
  <sheetViews>
    <sheetView view="pageBreakPreview" zoomScale="115" zoomScaleNormal="100" zoomScaleSheetLayoutView="115" workbookViewId="0">
      <selection activeCell="F23" sqref="F23"/>
    </sheetView>
  </sheetViews>
  <sheetFormatPr defaultRowHeight="15" x14ac:dyDescent="0.25"/>
  <cols>
    <col min="1" max="1" width="3" customWidth="1"/>
    <col min="2" max="2" width="41.85546875" customWidth="1"/>
    <col min="3" max="8" width="12.7109375" customWidth="1"/>
  </cols>
  <sheetData>
    <row r="1" spans="1:8" x14ac:dyDescent="0.25">
      <c r="D1" s="242" t="s">
        <v>329</v>
      </c>
      <c r="E1" s="242"/>
      <c r="F1" s="242"/>
      <c r="G1" s="242"/>
      <c r="H1" s="242"/>
    </row>
    <row r="2" spans="1:8" ht="16.5" customHeight="1" x14ac:dyDescent="0.25">
      <c r="A2" s="215" t="s">
        <v>389</v>
      </c>
      <c r="B2" s="216"/>
      <c r="C2" s="216"/>
      <c r="D2" s="216"/>
      <c r="E2" s="216"/>
      <c r="F2" s="216"/>
      <c r="G2" s="216"/>
      <c r="H2" s="216"/>
    </row>
    <row r="3" spans="1:8" s="6" customFormat="1" ht="40.5" customHeight="1" x14ac:dyDescent="0.2">
      <c r="A3" s="228" t="s">
        <v>316</v>
      </c>
      <c r="B3" s="228"/>
      <c r="C3" s="228"/>
      <c r="D3" s="228"/>
      <c r="E3" s="228"/>
      <c r="F3" s="228"/>
      <c r="G3" s="228"/>
      <c r="H3" s="228"/>
    </row>
    <row r="4" spans="1:8" ht="14.45" x14ac:dyDescent="0.3">
      <c r="A4" s="217"/>
      <c r="B4" s="217"/>
      <c r="C4" s="217"/>
      <c r="D4" s="217"/>
      <c r="E4" s="217"/>
      <c r="F4" s="217"/>
      <c r="G4" s="217"/>
      <c r="H4" s="217"/>
    </row>
    <row r="5" spans="1:8" ht="12.75" customHeight="1" thickBot="1" x14ac:dyDescent="0.3">
      <c r="A5" s="217" t="s">
        <v>116</v>
      </c>
      <c r="B5" s="217"/>
      <c r="C5" s="217"/>
      <c r="D5" s="217"/>
      <c r="E5" s="217"/>
      <c r="F5" s="217"/>
      <c r="G5" s="217"/>
      <c r="H5" s="217"/>
    </row>
    <row r="6" spans="1:8" ht="15.75" customHeight="1" x14ac:dyDescent="0.25">
      <c r="A6" s="218" t="s">
        <v>117</v>
      </c>
      <c r="B6" s="219"/>
      <c r="C6" s="102" t="s">
        <v>118</v>
      </c>
      <c r="D6" s="218" t="s">
        <v>119</v>
      </c>
      <c r="E6" s="224"/>
      <c r="F6" s="224"/>
      <c r="G6" s="224"/>
      <c r="H6" s="219"/>
    </row>
    <row r="7" spans="1:8" ht="16.5" customHeight="1" thickBot="1" x14ac:dyDescent="0.3">
      <c r="A7" s="220"/>
      <c r="B7" s="221"/>
      <c r="C7" s="103" t="s">
        <v>25</v>
      </c>
      <c r="D7" s="222" t="s">
        <v>120</v>
      </c>
      <c r="E7" s="225"/>
      <c r="F7" s="225"/>
      <c r="G7" s="225"/>
      <c r="H7" s="223"/>
    </row>
    <row r="8" spans="1:8" ht="16.5" thickBot="1" x14ac:dyDescent="0.3">
      <c r="A8" s="222"/>
      <c r="B8" s="223"/>
      <c r="C8" s="10"/>
      <c r="D8" s="104" t="s">
        <v>164</v>
      </c>
      <c r="E8" s="104" t="s">
        <v>165</v>
      </c>
      <c r="F8" s="104" t="s">
        <v>166</v>
      </c>
      <c r="G8" s="104" t="s">
        <v>167</v>
      </c>
      <c r="H8" s="104" t="s">
        <v>168</v>
      </c>
    </row>
    <row r="9" spans="1:8" ht="16.149999999999999" thickBot="1" x14ac:dyDescent="0.35">
      <c r="A9" s="229">
        <v>1</v>
      </c>
      <c r="B9" s="230"/>
      <c r="C9" s="104">
        <v>2</v>
      </c>
      <c r="D9" s="104">
        <v>3</v>
      </c>
      <c r="E9" s="104">
        <v>4</v>
      </c>
      <c r="F9" s="104">
        <v>5</v>
      </c>
      <c r="G9" s="104">
        <v>6</v>
      </c>
      <c r="H9" s="104">
        <v>7</v>
      </c>
    </row>
    <row r="10" spans="1:8" s="1" customFormat="1" ht="56.25" customHeight="1" thickBot="1" x14ac:dyDescent="0.3">
      <c r="A10" s="244" t="s">
        <v>317</v>
      </c>
      <c r="B10" s="245"/>
      <c r="C10" s="35">
        <f>SUM(D10:H10)</f>
        <v>6434.5410000000002</v>
      </c>
      <c r="D10" s="35">
        <f>SUM(D12:D15)</f>
        <v>0</v>
      </c>
      <c r="E10" s="35">
        <f>SUM(E12:E15)</f>
        <v>830.20500000000004</v>
      </c>
      <c r="F10" s="35">
        <f>SUM(F12:F15)</f>
        <v>1868.1119999999999</v>
      </c>
      <c r="G10" s="35">
        <f>SUM(G12:G15)</f>
        <v>1868.1119999999999</v>
      </c>
      <c r="H10" s="35">
        <f>SUM(H12:H15)</f>
        <v>1868.1119999999999</v>
      </c>
    </row>
    <row r="11" spans="1:8" ht="16.5" thickBot="1" x14ac:dyDescent="0.3">
      <c r="A11" s="12"/>
      <c r="B11" s="13" t="s">
        <v>122</v>
      </c>
      <c r="C11" s="33"/>
      <c r="D11" s="33"/>
      <c r="E11" s="33"/>
      <c r="F11" s="33"/>
      <c r="G11" s="33"/>
      <c r="H11" s="33"/>
    </row>
    <row r="12" spans="1:8" ht="32.25" thickBot="1" x14ac:dyDescent="0.3">
      <c r="A12" s="14"/>
      <c r="B12" s="15" t="s">
        <v>123</v>
      </c>
      <c r="C12" s="36">
        <f t="shared" ref="C12:C16" si="0">SUM(D12:H12)</f>
        <v>6434.5410000000002</v>
      </c>
      <c r="D12" s="36">
        <f>'ПОМ ПП 5'!F30</f>
        <v>0</v>
      </c>
      <c r="E12" s="36">
        <f>'ПОМ ПП 5'!G30</f>
        <v>830.20500000000004</v>
      </c>
      <c r="F12" s="36">
        <f>'ПОМ ПП 5'!H30</f>
        <v>1868.1119999999999</v>
      </c>
      <c r="G12" s="36">
        <f>'ПОМ ПП 5'!I30</f>
        <v>1868.1119999999999</v>
      </c>
      <c r="H12" s="36">
        <f>'ПОМ ПП 5'!J30</f>
        <v>1868.1119999999999</v>
      </c>
    </row>
    <row r="13" spans="1:8" ht="16.5" thickBot="1" x14ac:dyDescent="0.3">
      <c r="A13" s="16"/>
      <c r="B13" s="16" t="s">
        <v>124</v>
      </c>
      <c r="C13" s="36">
        <f t="shared" si="0"/>
        <v>0</v>
      </c>
      <c r="D13" s="36">
        <f>'ПОМ ПП 5'!F31</f>
        <v>0</v>
      </c>
      <c r="E13" s="36">
        <f>'ПОМ ПП 5'!G31</f>
        <v>0</v>
      </c>
      <c r="F13" s="36">
        <f>'ПОМ ПП 5'!H31</f>
        <v>0</v>
      </c>
      <c r="G13" s="36">
        <f>'ПОМ ПП 5'!I31</f>
        <v>0</v>
      </c>
      <c r="H13" s="36">
        <f>'ПОМ ПП 5'!J31</f>
        <v>0</v>
      </c>
    </row>
    <row r="14" spans="1:8" ht="16.5" thickBot="1" x14ac:dyDescent="0.3">
      <c r="A14" s="16"/>
      <c r="B14" s="13" t="s">
        <v>125</v>
      </c>
      <c r="C14" s="36">
        <f t="shared" si="0"/>
        <v>0</v>
      </c>
      <c r="D14" s="36">
        <f>'ПОМ ПП 5'!F32</f>
        <v>0</v>
      </c>
      <c r="E14" s="36">
        <f>'ПОМ ПП 5'!G32</f>
        <v>0</v>
      </c>
      <c r="F14" s="36">
        <f>'ПОМ ПП 5'!H32</f>
        <v>0</v>
      </c>
      <c r="G14" s="36">
        <f>'ПОМ ПП 5'!I32</f>
        <v>0</v>
      </c>
      <c r="H14" s="36">
        <f>'ПОМ ПП 5'!J32</f>
        <v>0</v>
      </c>
    </row>
    <row r="15" spans="1:8" ht="16.5" thickBot="1" x14ac:dyDescent="0.3">
      <c r="A15" s="17"/>
      <c r="B15" s="13" t="s">
        <v>126</v>
      </c>
      <c r="C15" s="30">
        <f t="shared" si="0"/>
        <v>0</v>
      </c>
      <c r="D15" s="36">
        <f>'ПОМ ПП 5'!F33</f>
        <v>0</v>
      </c>
      <c r="E15" s="36">
        <f>'ПОМ ПП 5'!G33</f>
        <v>0</v>
      </c>
      <c r="F15" s="36">
        <f>'ПОМ ПП 5'!H33</f>
        <v>0</v>
      </c>
      <c r="G15" s="36">
        <f>'ПОМ ПП 5'!I33</f>
        <v>0</v>
      </c>
      <c r="H15" s="36">
        <f>'ПОМ ПП 5'!J33</f>
        <v>0</v>
      </c>
    </row>
    <row r="16" spans="1:8" ht="16.5" thickBot="1" x14ac:dyDescent="0.3">
      <c r="A16" s="14"/>
      <c r="B16" s="18" t="s">
        <v>127</v>
      </c>
      <c r="C16" s="33">
        <f t="shared" si="0"/>
        <v>6434.5410000000002</v>
      </c>
      <c r="D16" s="30">
        <f>D12</f>
        <v>0</v>
      </c>
      <c r="E16" s="30">
        <f>E12</f>
        <v>830.20500000000004</v>
      </c>
      <c r="F16" s="30">
        <f>F12</f>
        <v>1868.1119999999999</v>
      </c>
      <c r="G16" s="31">
        <f>G12</f>
        <v>1868.1119999999999</v>
      </c>
      <c r="H16" s="31">
        <f>H12</f>
        <v>1868.1119999999999</v>
      </c>
    </row>
    <row r="17" spans="1:8" ht="7.9" customHeight="1" x14ac:dyDescent="0.3"/>
    <row r="18" spans="1:8" s="6" customFormat="1" ht="11.25" x14ac:dyDescent="0.2">
      <c r="A18" s="243" t="s">
        <v>138</v>
      </c>
      <c r="B18" s="243"/>
      <c r="C18" s="243"/>
      <c r="D18" s="243"/>
      <c r="E18" s="243"/>
      <c r="F18" s="243"/>
      <c r="G18" s="243"/>
      <c r="H18" s="243"/>
    </row>
    <row r="19" spans="1:8" s="6" customFormat="1" ht="11.25" x14ac:dyDescent="0.2">
      <c r="A19" s="243" t="s">
        <v>139</v>
      </c>
      <c r="B19" s="243"/>
      <c r="C19" s="243"/>
      <c r="D19" s="243"/>
      <c r="E19" s="243"/>
      <c r="F19" s="243"/>
      <c r="G19" s="243"/>
      <c r="H19" s="243"/>
    </row>
    <row r="20" spans="1:8" s="6" customFormat="1" ht="11.25" x14ac:dyDescent="0.2">
      <c r="A20" s="243" t="s">
        <v>140</v>
      </c>
      <c r="B20" s="243"/>
      <c r="C20" s="243"/>
      <c r="D20" s="243"/>
      <c r="E20" s="243"/>
      <c r="F20" s="243"/>
      <c r="G20" s="243"/>
      <c r="H20" s="243"/>
    </row>
  </sheetData>
  <mergeCells count="13">
    <mergeCell ref="A6:B8"/>
    <mergeCell ref="D6:H6"/>
    <mergeCell ref="D7:H7"/>
    <mergeCell ref="D1:H1"/>
    <mergeCell ref="A2:H2"/>
    <mergeCell ref="A3:H3"/>
    <mergeCell ref="A4:H4"/>
    <mergeCell ref="A5:H5"/>
    <mergeCell ref="A9:B9"/>
    <mergeCell ref="A10:B10"/>
    <mergeCell ref="A18:H18"/>
    <mergeCell ref="A19:H19"/>
    <mergeCell ref="A20:H20"/>
  </mergeCells>
  <hyperlinks>
    <hyperlink ref="A5" location="_ftn1" display="_ftn1"/>
    <hyperlink ref="B16" location="_ftn2" display="_ftn2"/>
    <hyperlink ref="A18" location="_ftnref1" display="_ftnref1"/>
    <hyperlink ref="A19" location="_ftnref2" display="_ftnref2"/>
    <hyperlink ref="A20" location="_ftnref3" display="_ftnref3"/>
  </hyperlinks>
  <pageMargins left="0.70866141732283472" right="0.70866141732283472" top="0.74803149606299213" bottom="0.74803149606299213" header="0.31496062992125984" footer="0.31496062992125984"/>
  <pageSetup paperSize="9" scale="72" firstPageNumber="26" fitToHeight="0" orientation="portrait" useFirstPageNumber="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6"/>
  <sheetViews>
    <sheetView view="pageBreakPreview" zoomScaleNormal="100" zoomScaleSheetLayoutView="100" workbookViewId="0">
      <selection activeCell="K30" sqref="K30:K31"/>
    </sheetView>
  </sheetViews>
  <sheetFormatPr defaultColWidth="9.140625" defaultRowHeight="15" x14ac:dyDescent="0.25"/>
  <cols>
    <col min="1" max="1" width="4.140625" style="64" customWidth="1"/>
    <col min="2" max="2" width="27.28515625" style="64" customWidth="1"/>
    <col min="3" max="3" width="10.5703125" style="64" customWidth="1"/>
    <col min="4" max="4" width="11.85546875" style="64" customWidth="1"/>
    <col min="5" max="8" width="8.85546875" style="64" customWidth="1"/>
    <col min="9" max="10" width="8.85546875" style="80" customWidth="1"/>
    <col min="11" max="11" width="21.140625" style="64" customWidth="1"/>
    <col min="12" max="14" width="7.140625" style="64" customWidth="1"/>
    <col min="15" max="15" width="7" style="64" customWidth="1"/>
    <col min="16" max="16" width="7.140625" style="64" customWidth="1"/>
    <col min="17" max="17" width="25.85546875" style="64" customWidth="1"/>
    <col min="18" max="18" width="4.85546875" style="64" customWidth="1"/>
    <col min="19" max="16384" width="9.140625" style="64"/>
  </cols>
  <sheetData>
    <row r="1" spans="1:19" s="29" customFormat="1" ht="18.75" customHeight="1" x14ac:dyDescent="0.25">
      <c r="A1" s="28"/>
      <c r="B1" s="28"/>
      <c r="C1" s="28"/>
      <c r="D1" s="28"/>
      <c r="E1" s="28"/>
      <c r="F1" s="309" t="s">
        <v>379</v>
      </c>
      <c r="G1" s="309"/>
      <c r="H1" s="309"/>
      <c r="I1" s="310"/>
      <c r="J1" s="310"/>
      <c r="K1" s="310"/>
      <c r="L1" s="310"/>
      <c r="M1" s="310"/>
      <c r="N1" s="310"/>
      <c r="O1" s="310"/>
      <c r="P1" s="310"/>
      <c r="Q1" s="310"/>
      <c r="R1" s="28"/>
    </row>
    <row r="2" spans="1:19" s="29" customFormat="1" ht="18.75" customHeight="1" x14ac:dyDescent="0.25">
      <c r="A2" s="28"/>
      <c r="B2" s="28"/>
      <c r="C2" s="28"/>
      <c r="D2" s="28"/>
      <c r="E2" s="28"/>
      <c r="F2" s="117"/>
      <c r="G2" s="117"/>
      <c r="H2" s="117"/>
      <c r="I2" s="308" t="s">
        <v>389</v>
      </c>
      <c r="J2" s="308"/>
      <c r="K2" s="308"/>
      <c r="L2" s="308"/>
      <c r="M2" s="308"/>
      <c r="N2" s="308"/>
      <c r="O2" s="308"/>
      <c r="P2" s="308"/>
      <c r="Q2" s="308"/>
      <c r="R2" s="28"/>
    </row>
    <row r="3" spans="1:19" x14ac:dyDescent="0.25">
      <c r="A3" s="273" t="s">
        <v>91</v>
      </c>
      <c r="B3" s="273"/>
      <c r="C3" s="273"/>
      <c r="D3" s="273"/>
      <c r="E3" s="273"/>
      <c r="F3" s="273"/>
      <c r="G3" s="273"/>
      <c r="H3" s="273"/>
      <c r="I3" s="273"/>
      <c r="J3" s="273"/>
      <c r="K3" s="273"/>
      <c r="L3" s="273"/>
      <c r="M3" s="273"/>
      <c r="N3" s="273"/>
      <c r="O3" s="273"/>
      <c r="P3" s="273"/>
      <c r="Q3" s="273"/>
      <c r="R3" s="63"/>
    </row>
    <row r="4" spans="1:19" ht="9.75" customHeight="1" x14ac:dyDescent="0.25">
      <c r="A4" s="63"/>
      <c r="B4" s="63"/>
      <c r="C4" s="63"/>
      <c r="D4" s="63"/>
      <c r="E4" s="63"/>
      <c r="F4" s="63"/>
      <c r="G4" s="63"/>
      <c r="H4" s="63"/>
      <c r="I4" s="65"/>
      <c r="J4" s="65"/>
      <c r="K4" s="63"/>
      <c r="L4" s="63"/>
      <c r="M4" s="63"/>
      <c r="N4" s="63"/>
      <c r="O4" s="63"/>
      <c r="P4" s="63"/>
      <c r="Q4" s="63"/>
      <c r="R4" s="63"/>
    </row>
    <row r="5" spans="1:19" s="29" customFormat="1" ht="27.75" customHeight="1" x14ac:dyDescent="0.25">
      <c r="A5" s="164" t="s">
        <v>0</v>
      </c>
      <c r="B5" s="164" t="s">
        <v>1</v>
      </c>
      <c r="C5" s="164" t="s">
        <v>2</v>
      </c>
      <c r="D5" s="164" t="s">
        <v>143</v>
      </c>
      <c r="E5" s="165" t="s">
        <v>3</v>
      </c>
      <c r="F5" s="165"/>
      <c r="G5" s="165"/>
      <c r="H5" s="165"/>
      <c r="I5" s="165"/>
      <c r="J5" s="165"/>
      <c r="K5" s="164" t="s">
        <v>5</v>
      </c>
      <c r="L5" s="164"/>
      <c r="M5" s="164"/>
      <c r="N5" s="164"/>
      <c r="O5" s="164"/>
      <c r="P5" s="164"/>
      <c r="Q5" s="164" t="s">
        <v>144</v>
      </c>
      <c r="R5" s="28"/>
    </row>
    <row r="6" spans="1:19" s="29" customFormat="1" ht="26.25" customHeight="1" x14ac:dyDescent="0.25">
      <c r="A6" s="164"/>
      <c r="B6" s="164"/>
      <c r="C6" s="164"/>
      <c r="D6" s="164"/>
      <c r="E6" s="107" t="s">
        <v>4</v>
      </c>
      <c r="F6" s="107" t="s">
        <v>164</v>
      </c>
      <c r="G6" s="107" t="s">
        <v>165</v>
      </c>
      <c r="H6" s="107" t="s">
        <v>166</v>
      </c>
      <c r="I6" s="107" t="s">
        <v>167</v>
      </c>
      <c r="J6" s="107" t="s">
        <v>168</v>
      </c>
      <c r="K6" s="106" t="s">
        <v>6</v>
      </c>
      <c r="L6" s="107" t="s">
        <v>164</v>
      </c>
      <c r="M6" s="107" t="s">
        <v>165</v>
      </c>
      <c r="N6" s="107" t="s">
        <v>166</v>
      </c>
      <c r="O6" s="107" t="s">
        <v>167</v>
      </c>
      <c r="P6" s="107" t="s">
        <v>168</v>
      </c>
      <c r="Q6" s="164"/>
      <c r="R6" s="52"/>
      <c r="S6" s="60"/>
    </row>
    <row r="7" spans="1:19" s="29" customFormat="1" x14ac:dyDescent="0.25">
      <c r="A7" s="112">
        <v>1</v>
      </c>
      <c r="B7" s="112">
        <v>2</v>
      </c>
      <c r="C7" s="112">
        <v>3</v>
      </c>
      <c r="D7" s="112">
        <v>4</v>
      </c>
      <c r="E7" s="112">
        <v>5</v>
      </c>
      <c r="F7" s="112">
        <v>6</v>
      </c>
      <c r="G7" s="112">
        <v>7</v>
      </c>
      <c r="H7" s="112">
        <v>8</v>
      </c>
      <c r="I7" s="112">
        <v>9</v>
      </c>
      <c r="J7" s="112">
        <v>10</v>
      </c>
      <c r="K7" s="112">
        <v>11</v>
      </c>
      <c r="L7" s="112">
        <v>12</v>
      </c>
      <c r="M7" s="112">
        <v>13</v>
      </c>
      <c r="N7" s="112">
        <v>14</v>
      </c>
      <c r="O7" s="112">
        <v>15</v>
      </c>
      <c r="P7" s="112">
        <v>16</v>
      </c>
      <c r="Q7" s="112">
        <v>17</v>
      </c>
      <c r="R7" s="28"/>
    </row>
    <row r="8" spans="1:19" x14ac:dyDescent="0.25">
      <c r="A8" s="116"/>
      <c r="B8" s="272" t="s">
        <v>87</v>
      </c>
      <c r="C8" s="272"/>
      <c r="D8" s="272"/>
      <c r="E8" s="272"/>
      <c r="F8" s="272"/>
      <c r="G8" s="272"/>
      <c r="H8" s="272"/>
      <c r="I8" s="272"/>
      <c r="J8" s="272"/>
      <c r="K8" s="272"/>
      <c r="L8" s="272"/>
      <c r="M8" s="272"/>
      <c r="N8" s="272"/>
      <c r="O8" s="272"/>
      <c r="P8" s="272"/>
      <c r="Q8" s="272"/>
      <c r="R8" s="63"/>
    </row>
    <row r="9" spans="1:19" s="29" customFormat="1" ht="15" customHeight="1" x14ac:dyDescent="0.25">
      <c r="A9" s="166" t="s">
        <v>7</v>
      </c>
      <c r="B9" s="277" t="s">
        <v>89</v>
      </c>
      <c r="C9" s="166"/>
      <c r="D9" s="54" t="s">
        <v>9</v>
      </c>
      <c r="E9" s="46">
        <f>SUM(E10:E14)</f>
        <v>98028.532940000005</v>
      </c>
      <c r="F9" s="46">
        <f t="shared" ref="F9:J9" si="0">SUM(F10:F14)</f>
        <v>17212.59</v>
      </c>
      <c r="G9" s="46">
        <f t="shared" si="0"/>
        <v>19599.51023</v>
      </c>
      <c r="H9" s="46">
        <f t="shared" si="0"/>
        <v>20142.13607</v>
      </c>
      <c r="I9" s="46">
        <f t="shared" si="0"/>
        <v>20537.14832</v>
      </c>
      <c r="J9" s="46">
        <f t="shared" si="0"/>
        <v>20537.14832</v>
      </c>
      <c r="K9" s="110"/>
      <c r="L9" s="107"/>
      <c r="M9" s="107"/>
      <c r="N9" s="107"/>
      <c r="O9" s="107"/>
      <c r="P9" s="107"/>
      <c r="Q9" s="173" t="s">
        <v>62</v>
      </c>
      <c r="R9" s="28"/>
    </row>
    <row r="10" spans="1:19" s="29" customFormat="1" x14ac:dyDescent="0.25">
      <c r="A10" s="167"/>
      <c r="B10" s="278"/>
      <c r="C10" s="167"/>
      <c r="D10" s="155" t="s">
        <v>10</v>
      </c>
      <c r="E10" s="156"/>
      <c r="F10" s="156"/>
      <c r="G10" s="156"/>
      <c r="H10" s="156"/>
      <c r="I10" s="156"/>
      <c r="J10" s="157"/>
      <c r="K10" s="262"/>
      <c r="L10" s="169"/>
      <c r="M10" s="169"/>
      <c r="N10" s="169"/>
      <c r="O10" s="169"/>
      <c r="P10" s="169"/>
      <c r="Q10" s="174"/>
      <c r="R10" s="28"/>
    </row>
    <row r="11" spans="1:19" s="29" customFormat="1" x14ac:dyDescent="0.25">
      <c r="A11" s="167"/>
      <c r="B11" s="278"/>
      <c r="C11" s="167"/>
      <c r="D11" s="54" t="s">
        <v>11</v>
      </c>
      <c r="E11" s="46">
        <f>SUM(F11:J11)</f>
        <v>12892.439510000002</v>
      </c>
      <c r="F11" s="46">
        <f t="shared" ref="F11:J14" si="1">F17+F23+F29</f>
        <v>2638.1945700000006</v>
      </c>
      <c r="G11" s="46">
        <f t="shared" ref="G11:I11" si="2">G17+G23+G29</f>
        <v>2557.5612300000003</v>
      </c>
      <c r="H11" s="46">
        <f t="shared" si="2"/>
        <v>2563.1530699999998</v>
      </c>
      <c r="I11" s="46">
        <f t="shared" si="2"/>
        <v>2566.76532</v>
      </c>
      <c r="J11" s="46">
        <f t="shared" si="1"/>
        <v>2566.76532</v>
      </c>
      <c r="K11" s="263"/>
      <c r="L11" s="171"/>
      <c r="M11" s="171"/>
      <c r="N11" s="171"/>
      <c r="O11" s="171"/>
      <c r="P11" s="171"/>
      <c r="Q11" s="174"/>
      <c r="R11" s="28"/>
    </row>
    <row r="12" spans="1:19" s="29" customFormat="1" ht="15" customHeight="1" x14ac:dyDescent="0.25">
      <c r="A12" s="167"/>
      <c r="B12" s="278"/>
      <c r="C12" s="167"/>
      <c r="D12" s="54" t="s">
        <v>12</v>
      </c>
      <c r="E12" s="46">
        <f t="shared" ref="E12:E14" si="3">SUM(F12:J12)</f>
        <v>37497.5</v>
      </c>
      <c r="F12" s="46">
        <f t="shared" si="1"/>
        <v>6431.7000000000007</v>
      </c>
      <c r="G12" s="46">
        <f t="shared" ref="G12:I12" si="4">G18+G24+G30</f>
        <v>7368.7000000000007</v>
      </c>
      <c r="H12" s="46">
        <f t="shared" si="4"/>
        <v>7638.0999999999995</v>
      </c>
      <c r="I12" s="46">
        <f t="shared" si="4"/>
        <v>8029.5</v>
      </c>
      <c r="J12" s="46">
        <f t="shared" si="1"/>
        <v>8029.5</v>
      </c>
      <c r="K12" s="261"/>
      <c r="L12" s="169"/>
      <c r="M12" s="169"/>
      <c r="N12" s="169"/>
      <c r="O12" s="169"/>
      <c r="P12" s="169"/>
      <c r="Q12" s="174"/>
      <c r="R12" s="28"/>
    </row>
    <row r="13" spans="1:19" s="29" customFormat="1" ht="15" customHeight="1" x14ac:dyDescent="0.25">
      <c r="A13" s="167"/>
      <c r="B13" s="278"/>
      <c r="C13" s="167"/>
      <c r="D13" s="54" t="s">
        <v>13</v>
      </c>
      <c r="E13" s="46">
        <f t="shared" si="3"/>
        <v>27858.593430000001</v>
      </c>
      <c r="F13" s="46">
        <f t="shared" si="1"/>
        <v>2442.6954299999998</v>
      </c>
      <c r="G13" s="46">
        <f t="shared" ref="G13:I13" si="5">G19+G25+G31</f>
        <v>6153.2489999999998</v>
      </c>
      <c r="H13" s="46">
        <f t="shared" si="5"/>
        <v>6420.8829999999998</v>
      </c>
      <c r="I13" s="46">
        <f t="shared" si="5"/>
        <v>6420.8829999999998</v>
      </c>
      <c r="J13" s="46">
        <f t="shared" si="1"/>
        <v>6420.8829999999998</v>
      </c>
      <c r="K13" s="263"/>
      <c r="L13" s="171"/>
      <c r="M13" s="171"/>
      <c r="N13" s="171"/>
      <c r="O13" s="171"/>
      <c r="P13" s="171"/>
      <c r="Q13" s="174"/>
      <c r="R13" s="28"/>
    </row>
    <row r="14" spans="1:19" s="29" customFormat="1" ht="15" customHeight="1" x14ac:dyDescent="0.25">
      <c r="A14" s="168"/>
      <c r="B14" s="279"/>
      <c r="C14" s="168"/>
      <c r="D14" s="66" t="s">
        <v>14</v>
      </c>
      <c r="E14" s="46">
        <f t="shared" si="3"/>
        <v>19780</v>
      </c>
      <c r="F14" s="67">
        <f t="shared" si="1"/>
        <v>5700</v>
      </c>
      <c r="G14" s="67">
        <f t="shared" ref="G14:I14" si="6">G20+G26+G32</f>
        <v>3520</v>
      </c>
      <c r="H14" s="67">
        <f t="shared" si="6"/>
        <v>3520</v>
      </c>
      <c r="I14" s="67">
        <f t="shared" si="6"/>
        <v>3520</v>
      </c>
      <c r="J14" s="67">
        <f t="shared" si="1"/>
        <v>3520</v>
      </c>
      <c r="K14" s="68"/>
      <c r="L14" s="108"/>
      <c r="M14" s="108"/>
      <c r="N14" s="108"/>
      <c r="O14" s="108"/>
      <c r="P14" s="108"/>
      <c r="Q14" s="175"/>
      <c r="R14" s="28"/>
    </row>
    <row r="15" spans="1:19" s="29" customFormat="1" ht="15" customHeight="1" x14ac:dyDescent="0.25">
      <c r="A15" s="166"/>
      <c r="B15" s="158"/>
      <c r="C15" s="166"/>
      <c r="D15" s="54" t="s">
        <v>9</v>
      </c>
      <c r="E15" s="46">
        <f>SUM(E16:E20)</f>
        <v>29103.879999999997</v>
      </c>
      <c r="F15" s="46">
        <f t="shared" ref="F15:J15" si="7">SUM(F16:F20)</f>
        <v>4955.88</v>
      </c>
      <c r="G15" s="46">
        <f t="shared" ref="G15:I15" si="8">SUM(G16:G20)</f>
        <v>5820</v>
      </c>
      <c r="H15" s="46">
        <f t="shared" si="8"/>
        <v>6022</v>
      </c>
      <c r="I15" s="46">
        <f t="shared" si="8"/>
        <v>6153</v>
      </c>
      <c r="J15" s="46">
        <f t="shared" si="7"/>
        <v>6153</v>
      </c>
      <c r="K15" s="110"/>
      <c r="L15" s="69"/>
      <c r="M15" s="69"/>
      <c r="N15" s="69"/>
      <c r="O15" s="69"/>
      <c r="P15" s="69"/>
      <c r="Q15" s="179" t="s">
        <v>70</v>
      </c>
      <c r="R15" s="28"/>
    </row>
    <row r="16" spans="1:19" s="29" customFormat="1" x14ac:dyDescent="0.25">
      <c r="A16" s="167"/>
      <c r="B16" s="159"/>
      <c r="C16" s="167"/>
      <c r="D16" s="155" t="s">
        <v>10</v>
      </c>
      <c r="E16" s="156"/>
      <c r="F16" s="156"/>
      <c r="G16" s="156"/>
      <c r="H16" s="156"/>
      <c r="I16" s="156"/>
      <c r="J16" s="157"/>
      <c r="K16" s="262"/>
      <c r="L16" s="207"/>
      <c r="M16" s="207"/>
      <c r="N16" s="207"/>
      <c r="O16" s="207"/>
      <c r="P16" s="207"/>
      <c r="Q16" s="180"/>
      <c r="R16" s="28"/>
    </row>
    <row r="17" spans="1:18" s="29" customFormat="1" x14ac:dyDescent="0.25">
      <c r="A17" s="167"/>
      <c r="B17" s="159"/>
      <c r="C17" s="167"/>
      <c r="D17" s="54" t="s">
        <v>11</v>
      </c>
      <c r="E17" s="46">
        <f>SUM(F17:J17)</f>
        <v>1493.1145700000002</v>
      </c>
      <c r="F17" s="46">
        <f>1108.92-F19</f>
        <v>605.11457000000007</v>
      </c>
      <c r="G17" s="46">
        <v>220</v>
      </c>
      <c r="H17" s="46">
        <v>222</v>
      </c>
      <c r="I17" s="46">
        <v>223</v>
      </c>
      <c r="J17" s="46">
        <f>I17</f>
        <v>223</v>
      </c>
      <c r="K17" s="263"/>
      <c r="L17" s="209"/>
      <c r="M17" s="209"/>
      <c r="N17" s="209"/>
      <c r="O17" s="209"/>
      <c r="P17" s="209"/>
      <c r="Q17" s="180"/>
      <c r="R17" s="28"/>
    </row>
    <row r="18" spans="1:18" s="29" customFormat="1" x14ac:dyDescent="0.25">
      <c r="A18" s="167"/>
      <c r="B18" s="159"/>
      <c r="C18" s="167"/>
      <c r="D18" s="54" t="s">
        <v>12</v>
      </c>
      <c r="E18" s="46">
        <f t="shared" ref="E18:E20" si="9">SUM(F18:J18)</f>
        <v>12606.96</v>
      </c>
      <c r="F18" s="46">
        <f>1785+261.96</f>
        <v>2046.96</v>
      </c>
      <c r="G18" s="46">
        <f>2000+500</f>
        <v>2500</v>
      </c>
      <c r="H18" s="46">
        <v>2600</v>
      </c>
      <c r="I18" s="46">
        <v>2730</v>
      </c>
      <c r="J18" s="46">
        <f t="shared" ref="J18:J19" si="10">I18</f>
        <v>2730</v>
      </c>
      <c r="K18" s="261"/>
      <c r="L18" s="207"/>
      <c r="M18" s="207"/>
      <c r="N18" s="207"/>
      <c r="O18" s="207"/>
      <c r="P18" s="207"/>
      <c r="Q18" s="180"/>
      <c r="R18" s="28"/>
    </row>
    <row r="19" spans="1:18" s="29" customFormat="1" x14ac:dyDescent="0.25">
      <c r="A19" s="167"/>
      <c r="B19" s="159"/>
      <c r="C19" s="167"/>
      <c r="D19" s="54" t="s">
        <v>13</v>
      </c>
      <c r="E19" s="46">
        <f t="shared" si="9"/>
        <v>6403.8054300000003</v>
      </c>
      <c r="F19" s="46">
        <v>503.80543</v>
      </c>
      <c r="G19" s="46">
        <v>1400</v>
      </c>
      <c r="H19" s="46">
        <v>1500</v>
      </c>
      <c r="I19" s="46">
        <v>1500</v>
      </c>
      <c r="J19" s="46">
        <f t="shared" si="10"/>
        <v>1500</v>
      </c>
      <c r="K19" s="263"/>
      <c r="L19" s="209"/>
      <c r="M19" s="209"/>
      <c r="N19" s="209"/>
      <c r="O19" s="209"/>
      <c r="P19" s="209"/>
      <c r="Q19" s="180"/>
      <c r="R19" s="28"/>
    </row>
    <row r="20" spans="1:18" s="29" customFormat="1" ht="15" customHeight="1" x14ac:dyDescent="0.25">
      <c r="A20" s="168"/>
      <c r="B20" s="160"/>
      <c r="C20" s="168"/>
      <c r="D20" s="66" t="s">
        <v>14</v>
      </c>
      <c r="E20" s="46">
        <f t="shared" si="9"/>
        <v>8600</v>
      </c>
      <c r="F20" s="67">
        <v>1800</v>
      </c>
      <c r="G20" s="67">
        <v>1700</v>
      </c>
      <c r="H20" s="67">
        <v>1700</v>
      </c>
      <c r="I20" s="67">
        <v>1700</v>
      </c>
      <c r="J20" s="67">
        <v>1700</v>
      </c>
      <c r="K20" s="68"/>
      <c r="L20" s="70"/>
      <c r="M20" s="70"/>
      <c r="N20" s="70"/>
      <c r="O20" s="70"/>
      <c r="P20" s="70"/>
      <c r="Q20" s="181"/>
      <c r="R20" s="28"/>
    </row>
    <row r="21" spans="1:18" s="29" customFormat="1" x14ac:dyDescent="0.25">
      <c r="A21" s="166"/>
      <c r="B21" s="158"/>
      <c r="C21" s="166"/>
      <c r="D21" s="54" t="s">
        <v>9</v>
      </c>
      <c r="E21" s="46">
        <f>SUM(E22:E26)</f>
        <v>66007.032940000005</v>
      </c>
      <c r="F21" s="46">
        <f t="shared" ref="F21:J21" si="11">SUM(F22:F26)</f>
        <v>11619.09</v>
      </c>
      <c r="G21" s="46">
        <f t="shared" si="11"/>
        <v>13229.51023</v>
      </c>
      <c r="H21" s="46">
        <f t="shared" si="11"/>
        <v>13550.136069999999</v>
      </c>
      <c r="I21" s="46">
        <f t="shared" si="11"/>
        <v>13804.14832</v>
      </c>
      <c r="J21" s="46">
        <f t="shared" si="11"/>
        <v>13804.14832</v>
      </c>
      <c r="K21" s="110"/>
      <c r="L21" s="69"/>
      <c r="M21" s="69"/>
      <c r="N21" s="69"/>
      <c r="O21" s="69"/>
      <c r="P21" s="69"/>
      <c r="Q21" s="179" t="s">
        <v>71</v>
      </c>
      <c r="R21" s="28"/>
    </row>
    <row r="22" spans="1:18" s="29" customFormat="1" x14ac:dyDescent="0.25">
      <c r="A22" s="167"/>
      <c r="B22" s="159"/>
      <c r="C22" s="167"/>
      <c r="D22" s="155" t="s">
        <v>10</v>
      </c>
      <c r="E22" s="156"/>
      <c r="F22" s="156"/>
      <c r="G22" s="156"/>
      <c r="H22" s="156"/>
      <c r="I22" s="156"/>
      <c r="J22" s="157"/>
      <c r="K22" s="262"/>
      <c r="L22" s="207"/>
      <c r="M22" s="207"/>
      <c r="N22" s="207"/>
      <c r="O22" s="207"/>
      <c r="P22" s="207"/>
      <c r="Q22" s="180"/>
      <c r="R22" s="28"/>
    </row>
    <row r="23" spans="1:18" s="29" customFormat="1" x14ac:dyDescent="0.25">
      <c r="A23" s="167"/>
      <c r="B23" s="159"/>
      <c r="C23" s="167"/>
      <c r="D23" s="54" t="s">
        <v>11</v>
      </c>
      <c r="E23" s="46">
        <f>SUM(F23:J23)</f>
        <v>11216.314940000002</v>
      </c>
      <c r="F23" s="46">
        <f>3794.86-F25</f>
        <v>1950.0700000000002</v>
      </c>
      <c r="G23" s="46">
        <f>2400+36.51225+121.04898-G17-G29</f>
        <v>2312.5612300000003</v>
      </c>
      <c r="H23" s="46">
        <f>38.46327+124.6898+2400-H17-H29</f>
        <v>2316.1530699999998</v>
      </c>
      <c r="I23" s="46">
        <f>42.07552+124.6898+2400-I17-I29</f>
        <v>2318.76532</v>
      </c>
      <c r="J23" s="46">
        <f>I23</f>
        <v>2318.76532</v>
      </c>
      <c r="K23" s="263"/>
      <c r="L23" s="209"/>
      <c r="M23" s="209"/>
      <c r="N23" s="209"/>
      <c r="O23" s="209"/>
      <c r="P23" s="209"/>
      <c r="Q23" s="180"/>
      <c r="R23" s="28"/>
    </row>
    <row r="24" spans="1:18" s="29" customFormat="1" x14ac:dyDescent="0.25">
      <c r="A24" s="167"/>
      <c r="B24" s="159"/>
      <c r="C24" s="167"/>
      <c r="D24" s="54" t="s">
        <v>12</v>
      </c>
      <c r="E24" s="46">
        <f t="shared" ref="E24:E26" si="12">SUM(F24:J24)</f>
        <v>23540.03</v>
      </c>
      <c r="F24" s="46">
        <f>3775.3+348.93</f>
        <v>4124.2300000000005</v>
      </c>
      <c r="G24" s="46">
        <f>1789.1+3789-G18-G30+865.3+925.3</f>
        <v>4608.7000000000007</v>
      </c>
      <c r="H24" s="46">
        <f>1884.7+3938.2-H18-H30+920.1+895.1</f>
        <v>4768.0999999999995</v>
      </c>
      <c r="I24" s="46">
        <f>2061.7+4087.4-I18-I30+955.5+924.9</f>
        <v>5019.5</v>
      </c>
      <c r="J24" s="46">
        <f t="shared" ref="J24:J25" si="13">I24</f>
        <v>5019.5</v>
      </c>
      <c r="K24" s="261"/>
      <c r="L24" s="207"/>
      <c r="M24" s="207"/>
      <c r="N24" s="207"/>
      <c r="O24" s="207"/>
      <c r="P24" s="207"/>
      <c r="Q24" s="180"/>
      <c r="R24" s="28"/>
    </row>
    <row r="25" spans="1:18" s="29" customFormat="1" x14ac:dyDescent="0.25">
      <c r="A25" s="167"/>
      <c r="B25" s="159"/>
      <c r="C25" s="167"/>
      <c r="D25" s="54" t="s">
        <v>13</v>
      </c>
      <c r="E25" s="46">
        <f t="shared" si="12"/>
        <v>20550.687999999998</v>
      </c>
      <c r="F25" s="46">
        <v>1844.79</v>
      </c>
      <c r="G25" s="46">
        <f>5931.4-G19-G31+221.849</f>
        <v>4558.2489999999998</v>
      </c>
      <c r="H25" s="46">
        <f>6109.8-H19-H31+311.083</f>
        <v>4715.8829999999998</v>
      </c>
      <c r="I25" s="46">
        <f>6109.8-I19-I31+311.083</f>
        <v>4715.8829999999998</v>
      </c>
      <c r="J25" s="46">
        <f t="shared" si="13"/>
        <v>4715.8829999999998</v>
      </c>
      <c r="K25" s="263"/>
      <c r="L25" s="209"/>
      <c r="M25" s="209"/>
      <c r="N25" s="209"/>
      <c r="O25" s="209"/>
      <c r="P25" s="209"/>
      <c r="Q25" s="180"/>
      <c r="R25" s="28"/>
    </row>
    <row r="26" spans="1:18" s="29" customFormat="1" ht="15" customHeight="1" x14ac:dyDescent="0.25">
      <c r="A26" s="168"/>
      <c r="B26" s="160"/>
      <c r="C26" s="168"/>
      <c r="D26" s="66" t="s">
        <v>14</v>
      </c>
      <c r="E26" s="46">
        <f t="shared" si="12"/>
        <v>10700</v>
      </c>
      <c r="F26" s="67">
        <v>3700</v>
      </c>
      <c r="G26" s="67">
        <v>1750</v>
      </c>
      <c r="H26" s="67">
        <v>1750</v>
      </c>
      <c r="I26" s="67">
        <v>1750</v>
      </c>
      <c r="J26" s="67">
        <v>1750</v>
      </c>
      <c r="K26" s="68"/>
      <c r="L26" s="70"/>
      <c r="M26" s="70"/>
      <c r="N26" s="70"/>
      <c r="O26" s="70"/>
      <c r="P26" s="70"/>
      <c r="Q26" s="181"/>
      <c r="R26" s="28"/>
    </row>
    <row r="27" spans="1:18" s="29" customFormat="1" ht="15" customHeight="1" x14ac:dyDescent="0.25">
      <c r="A27" s="166"/>
      <c r="B27" s="158"/>
      <c r="C27" s="166"/>
      <c r="D27" s="54" t="s">
        <v>9</v>
      </c>
      <c r="E27" s="46">
        <f>SUM(E28:E32)</f>
        <v>2917.62</v>
      </c>
      <c r="F27" s="46">
        <f t="shared" ref="F27:J27" si="14">SUM(F28:F32)</f>
        <v>637.62</v>
      </c>
      <c r="G27" s="46">
        <f t="shared" si="14"/>
        <v>550</v>
      </c>
      <c r="H27" s="46">
        <f t="shared" si="14"/>
        <v>570</v>
      </c>
      <c r="I27" s="46">
        <f t="shared" si="14"/>
        <v>580</v>
      </c>
      <c r="J27" s="46">
        <f t="shared" si="14"/>
        <v>580</v>
      </c>
      <c r="K27" s="110"/>
      <c r="L27" s="69"/>
      <c r="M27" s="69"/>
      <c r="N27" s="69"/>
      <c r="O27" s="69"/>
      <c r="P27" s="69"/>
      <c r="Q27" s="179" t="s">
        <v>61</v>
      </c>
      <c r="R27" s="28"/>
    </row>
    <row r="28" spans="1:18" s="29" customFormat="1" x14ac:dyDescent="0.25">
      <c r="A28" s="167"/>
      <c r="B28" s="159"/>
      <c r="C28" s="167"/>
      <c r="D28" s="155" t="s">
        <v>10</v>
      </c>
      <c r="E28" s="156"/>
      <c r="F28" s="156"/>
      <c r="G28" s="156"/>
      <c r="H28" s="156"/>
      <c r="I28" s="156"/>
      <c r="J28" s="157"/>
      <c r="K28" s="262"/>
      <c r="L28" s="207"/>
      <c r="M28" s="207"/>
      <c r="N28" s="207"/>
      <c r="O28" s="207"/>
      <c r="P28" s="207"/>
      <c r="Q28" s="180"/>
      <c r="R28" s="28"/>
    </row>
    <row r="29" spans="1:18" s="29" customFormat="1" x14ac:dyDescent="0.25">
      <c r="A29" s="167"/>
      <c r="B29" s="159"/>
      <c r="C29" s="167"/>
      <c r="D29" s="54" t="s">
        <v>11</v>
      </c>
      <c r="E29" s="46">
        <f>SUM(F29:J29)</f>
        <v>183.01000000000002</v>
      </c>
      <c r="F29" s="46">
        <f>177.11-F31</f>
        <v>83.010000000000019</v>
      </c>
      <c r="G29" s="46">
        <v>25</v>
      </c>
      <c r="H29" s="46">
        <v>25</v>
      </c>
      <c r="I29" s="46">
        <v>25</v>
      </c>
      <c r="J29" s="46">
        <f>I29</f>
        <v>25</v>
      </c>
      <c r="K29" s="263"/>
      <c r="L29" s="209"/>
      <c r="M29" s="209"/>
      <c r="N29" s="209"/>
      <c r="O29" s="209"/>
      <c r="P29" s="209"/>
      <c r="Q29" s="180"/>
      <c r="R29" s="28"/>
    </row>
    <row r="30" spans="1:18" s="29" customFormat="1" x14ac:dyDescent="0.25">
      <c r="A30" s="167"/>
      <c r="B30" s="159"/>
      <c r="C30" s="167"/>
      <c r="D30" s="54" t="s">
        <v>12</v>
      </c>
      <c r="E30" s="46">
        <f t="shared" ref="E30:E32" si="15">SUM(F30:J30)</f>
        <v>1350.51</v>
      </c>
      <c r="F30" s="46">
        <f>218+42.51</f>
        <v>260.51</v>
      </c>
      <c r="G30" s="46">
        <f>220+40</f>
        <v>260</v>
      </c>
      <c r="H30" s="46">
        <v>270</v>
      </c>
      <c r="I30" s="46">
        <v>280</v>
      </c>
      <c r="J30" s="46">
        <f t="shared" ref="J30:J32" si="16">I30</f>
        <v>280</v>
      </c>
      <c r="K30" s="261"/>
      <c r="L30" s="207"/>
      <c r="M30" s="207"/>
      <c r="N30" s="207"/>
      <c r="O30" s="207"/>
      <c r="P30" s="207"/>
      <c r="Q30" s="180"/>
      <c r="R30" s="28"/>
    </row>
    <row r="31" spans="1:18" s="29" customFormat="1" x14ac:dyDescent="0.25">
      <c r="A31" s="167"/>
      <c r="B31" s="159"/>
      <c r="C31" s="167"/>
      <c r="D31" s="54" t="s">
        <v>13</v>
      </c>
      <c r="E31" s="46">
        <f t="shared" si="15"/>
        <v>904.1</v>
      </c>
      <c r="F31" s="46">
        <v>94.1</v>
      </c>
      <c r="G31" s="46">
        <v>195</v>
      </c>
      <c r="H31" s="46">
        <v>205</v>
      </c>
      <c r="I31" s="46">
        <v>205</v>
      </c>
      <c r="J31" s="46">
        <f t="shared" si="16"/>
        <v>205</v>
      </c>
      <c r="K31" s="263"/>
      <c r="L31" s="209"/>
      <c r="M31" s="209"/>
      <c r="N31" s="209"/>
      <c r="O31" s="209"/>
      <c r="P31" s="209"/>
      <c r="Q31" s="180"/>
      <c r="R31" s="28"/>
    </row>
    <row r="32" spans="1:18" s="29" customFormat="1" ht="15" customHeight="1" x14ac:dyDescent="0.25">
      <c r="A32" s="168"/>
      <c r="B32" s="160"/>
      <c r="C32" s="168"/>
      <c r="D32" s="66" t="s">
        <v>14</v>
      </c>
      <c r="E32" s="46">
        <f t="shared" si="15"/>
        <v>480</v>
      </c>
      <c r="F32" s="67">
        <v>200</v>
      </c>
      <c r="G32" s="67">
        <v>70</v>
      </c>
      <c r="H32" s="67">
        <v>70</v>
      </c>
      <c r="I32" s="67">
        <v>70</v>
      </c>
      <c r="J32" s="46">
        <f t="shared" si="16"/>
        <v>70</v>
      </c>
      <c r="K32" s="71"/>
      <c r="L32" s="70"/>
      <c r="M32" s="70"/>
      <c r="N32" s="70"/>
      <c r="O32" s="70"/>
      <c r="P32" s="70"/>
      <c r="Q32" s="181"/>
      <c r="R32" s="28"/>
    </row>
    <row r="33" spans="1:18" s="29" customFormat="1" ht="15" customHeight="1" x14ac:dyDescent="0.25">
      <c r="A33" s="189" t="s">
        <v>20</v>
      </c>
      <c r="B33" s="277" t="s">
        <v>88</v>
      </c>
      <c r="C33" s="239"/>
      <c r="D33" s="54" t="s">
        <v>9</v>
      </c>
      <c r="E33" s="46">
        <f t="shared" ref="E33:J33" si="17">SUM(E34:E38)</f>
        <v>5549.5</v>
      </c>
      <c r="F33" s="46">
        <f t="shared" si="17"/>
        <v>1076.0999999999999</v>
      </c>
      <c r="G33" s="46">
        <f t="shared" si="17"/>
        <v>1242.0999999999999</v>
      </c>
      <c r="H33" s="46">
        <f t="shared" si="17"/>
        <v>1077.0999999999999</v>
      </c>
      <c r="I33" s="46">
        <f t="shared" si="17"/>
        <v>1077.0999999999999</v>
      </c>
      <c r="J33" s="46">
        <f t="shared" si="17"/>
        <v>1077.0999999999999</v>
      </c>
      <c r="K33" s="186"/>
      <c r="L33" s="169"/>
      <c r="M33" s="169"/>
      <c r="N33" s="169"/>
      <c r="O33" s="169"/>
      <c r="P33" s="169"/>
      <c r="Q33" s="161" t="s">
        <v>62</v>
      </c>
      <c r="R33" s="28"/>
    </row>
    <row r="34" spans="1:18" s="29" customFormat="1" x14ac:dyDescent="0.25">
      <c r="A34" s="189"/>
      <c r="B34" s="278"/>
      <c r="C34" s="239"/>
      <c r="D34" s="155" t="s">
        <v>10</v>
      </c>
      <c r="E34" s="156"/>
      <c r="F34" s="156"/>
      <c r="G34" s="156"/>
      <c r="H34" s="156"/>
      <c r="I34" s="156"/>
      <c r="J34" s="157"/>
      <c r="K34" s="188"/>
      <c r="L34" s="171"/>
      <c r="M34" s="171"/>
      <c r="N34" s="171"/>
      <c r="O34" s="171"/>
      <c r="P34" s="171"/>
      <c r="Q34" s="162"/>
      <c r="R34" s="28"/>
    </row>
    <row r="35" spans="1:18" s="29" customFormat="1" ht="15" customHeight="1" x14ac:dyDescent="0.25">
      <c r="A35" s="189"/>
      <c r="B35" s="278"/>
      <c r="C35" s="239"/>
      <c r="D35" s="54" t="s">
        <v>11</v>
      </c>
      <c r="E35" s="46">
        <f>SUM(F35:J35)</f>
        <v>3885.1</v>
      </c>
      <c r="F35" s="46">
        <f>F41+F47+F53</f>
        <v>761</v>
      </c>
      <c r="G35" s="46">
        <f t="shared" ref="G35:H35" si="18">G41+G47+G53</f>
        <v>914.6</v>
      </c>
      <c r="H35" s="46">
        <f t="shared" si="18"/>
        <v>736.5</v>
      </c>
      <c r="I35" s="46">
        <f t="shared" ref="I35:J35" si="19">I41+I47+I53</f>
        <v>736.5</v>
      </c>
      <c r="J35" s="46">
        <f t="shared" si="19"/>
        <v>736.5</v>
      </c>
      <c r="K35" s="186"/>
      <c r="L35" s="169"/>
      <c r="M35" s="169"/>
      <c r="N35" s="169"/>
      <c r="O35" s="169"/>
      <c r="P35" s="169"/>
      <c r="Q35" s="162"/>
      <c r="R35" s="28"/>
    </row>
    <row r="36" spans="1:18" s="29" customFormat="1" x14ac:dyDescent="0.25">
      <c r="A36" s="189"/>
      <c r="B36" s="278"/>
      <c r="C36" s="239"/>
      <c r="D36" s="54" t="s">
        <v>12</v>
      </c>
      <c r="E36" s="46">
        <f t="shared" ref="E36:E38" si="20">SUM(F36:J36)</f>
        <v>1664.4</v>
      </c>
      <c r="F36" s="46">
        <f t="shared" ref="F36:J36" si="21">F42+F48+F54</f>
        <v>315.10000000000002</v>
      </c>
      <c r="G36" s="46">
        <f t="shared" ref="G36:H36" si="22">G42+G48+G54</f>
        <v>327.5</v>
      </c>
      <c r="H36" s="46">
        <f t="shared" si="22"/>
        <v>340.6</v>
      </c>
      <c r="I36" s="46">
        <f t="shared" si="21"/>
        <v>340.6</v>
      </c>
      <c r="J36" s="46">
        <f t="shared" si="21"/>
        <v>340.6</v>
      </c>
      <c r="K36" s="187"/>
      <c r="L36" s="170"/>
      <c r="M36" s="170"/>
      <c r="N36" s="170"/>
      <c r="O36" s="170"/>
      <c r="P36" s="170"/>
      <c r="Q36" s="162"/>
      <c r="R36" s="28"/>
    </row>
    <row r="37" spans="1:18" s="29" customFormat="1" x14ac:dyDescent="0.25">
      <c r="A37" s="189"/>
      <c r="B37" s="278"/>
      <c r="C37" s="239"/>
      <c r="D37" s="54" t="s">
        <v>13</v>
      </c>
      <c r="E37" s="46">
        <f t="shared" si="20"/>
        <v>0</v>
      </c>
      <c r="F37" s="46">
        <f t="shared" ref="F37:J37" si="23">F43+F49+F55</f>
        <v>0</v>
      </c>
      <c r="G37" s="46">
        <f t="shared" ref="G37:H37" si="24">G43+G49+G55</f>
        <v>0</v>
      </c>
      <c r="H37" s="46">
        <f t="shared" si="24"/>
        <v>0</v>
      </c>
      <c r="I37" s="46">
        <f t="shared" si="23"/>
        <v>0</v>
      </c>
      <c r="J37" s="46">
        <f t="shared" si="23"/>
        <v>0</v>
      </c>
      <c r="K37" s="187"/>
      <c r="L37" s="170"/>
      <c r="M37" s="170"/>
      <c r="N37" s="170"/>
      <c r="O37" s="170"/>
      <c r="P37" s="170"/>
      <c r="Q37" s="162"/>
      <c r="R37" s="28"/>
    </row>
    <row r="38" spans="1:18" s="29" customFormat="1" x14ac:dyDescent="0.25">
      <c r="A38" s="189"/>
      <c r="B38" s="279"/>
      <c r="C38" s="239"/>
      <c r="D38" s="54" t="s">
        <v>14</v>
      </c>
      <c r="E38" s="46">
        <f t="shared" si="20"/>
        <v>0</v>
      </c>
      <c r="F38" s="46">
        <f t="shared" ref="F38:J38" si="25">F44+F50+F56</f>
        <v>0</v>
      </c>
      <c r="G38" s="46">
        <f t="shared" ref="G38:H38" si="26">G44+G50+G56</f>
        <v>0</v>
      </c>
      <c r="H38" s="46">
        <f t="shared" si="26"/>
        <v>0</v>
      </c>
      <c r="I38" s="46">
        <f t="shared" si="25"/>
        <v>0</v>
      </c>
      <c r="J38" s="46">
        <f t="shared" si="25"/>
        <v>0</v>
      </c>
      <c r="K38" s="188"/>
      <c r="L38" s="171"/>
      <c r="M38" s="171"/>
      <c r="N38" s="171"/>
      <c r="O38" s="171"/>
      <c r="P38" s="171"/>
      <c r="Q38" s="163"/>
      <c r="R38" s="28"/>
    </row>
    <row r="39" spans="1:18" s="29" customFormat="1" ht="15" customHeight="1" x14ac:dyDescent="0.25">
      <c r="A39" s="166"/>
      <c r="B39" s="158"/>
      <c r="C39" s="166"/>
      <c r="D39" s="54" t="s">
        <v>9</v>
      </c>
      <c r="E39" s="46">
        <f>SUM(E40:E44)</f>
        <v>1338.2</v>
      </c>
      <c r="F39" s="46">
        <f t="shared" ref="F39:J39" si="27">SUM(F40:F44)</f>
        <v>258.2</v>
      </c>
      <c r="G39" s="46">
        <f t="shared" ref="G39:H39" si="28">SUM(G40:G44)</f>
        <v>270</v>
      </c>
      <c r="H39" s="46">
        <f t="shared" si="28"/>
        <v>270</v>
      </c>
      <c r="I39" s="46">
        <f t="shared" si="27"/>
        <v>270</v>
      </c>
      <c r="J39" s="72">
        <f t="shared" si="27"/>
        <v>270</v>
      </c>
      <c r="K39" s="186"/>
      <c r="L39" s="169"/>
      <c r="M39" s="169"/>
      <c r="N39" s="169"/>
      <c r="O39" s="169"/>
      <c r="P39" s="169"/>
      <c r="Q39" s="274" t="s">
        <v>70</v>
      </c>
      <c r="R39" s="28"/>
    </row>
    <row r="40" spans="1:18" s="29" customFormat="1" x14ac:dyDescent="0.25">
      <c r="A40" s="167"/>
      <c r="B40" s="159"/>
      <c r="C40" s="167"/>
      <c r="D40" s="155" t="s">
        <v>10</v>
      </c>
      <c r="E40" s="156"/>
      <c r="F40" s="156"/>
      <c r="G40" s="156"/>
      <c r="H40" s="156"/>
      <c r="I40" s="156"/>
      <c r="J40" s="156"/>
      <c r="K40" s="188"/>
      <c r="L40" s="171"/>
      <c r="M40" s="171"/>
      <c r="N40" s="171"/>
      <c r="O40" s="171"/>
      <c r="P40" s="170"/>
      <c r="Q40" s="275"/>
      <c r="R40" s="28"/>
    </row>
    <row r="41" spans="1:18" s="29" customFormat="1" ht="15" customHeight="1" x14ac:dyDescent="0.25">
      <c r="A41" s="167"/>
      <c r="B41" s="159"/>
      <c r="C41" s="167"/>
      <c r="D41" s="54" t="s">
        <v>11</v>
      </c>
      <c r="E41" s="46">
        <f>SUM(F41:J41)</f>
        <v>943.1</v>
      </c>
      <c r="F41" s="46">
        <v>183.1</v>
      </c>
      <c r="G41" s="46">
        <v>190</v>
      </c>
      <c r="H41" s="46">
        <v>190</v>
      </c>
      <c r="I41" s="46">
        <v>190</v>
      </c>
      <c r="J41" s="46">
        <f>I41</f>
        <v>190</v>
      </c>
      <c r="K41" s="186"/>
      <c r="L41" s="169"/>
      <c r="M41" s="169"/>
      <c r="N41" s="169"/>
      <c r="O41" s="169"/>
      <c r="P41" s="169"/>
      <c r="Q41" s="275"/>
      <c r="R41" s="28"/>
    </row>
    <row r="42" spans="1:18" s="29" customFormat="1" x14ac:dyDescent="0.25">
      <c r="A42" s="167"/>
      <c r="B42" s="159"/>
      <c r="C42" s="167"/>
      <c r="D42" s="54" t="s">
        <v>12</v>
      </c>
      <c r="E42" s="46">
        <f t="shared" ref="E42:E44" si="29">SUM(F42:J42)</f>
        <v>395.1</v>
      </c>
      <c r="F42" s="46">
        <v>75.099999999999994</v>
      </c>
      <c r="G42" s="46">
        <v>80</v>
      </c>
      <c r="H42" s="46">
        <v>80</v>
      </c>
      <c r="I42" s="46">
        <v>80</v>
      </c>
      <c r="J42" s="46">
        <f>I42</f>
        <v>80</v>
      </c>
      <c r="K42" s="187"/>
      <c r="L42" s="170"/>
      <c r="M42" s="170"/>
      <c r="N42" s="170"/>
      <c r="O42" s="170"/>
      <c r="P42" s="170"/>
      <c r="Q42" s="275"/>
      <c r="R42" s="28"/>
    </row>
    <row r="43" spans="1:18" s="29" customFormat="1" x14ac:dyDescent="0.25">
      <c r="A43" s="167"/>
      <c r="B43" s="159"/>
      <c r="C43" s="167"/>
      <c r="D43" s="54" t="s">
        <v>13</v>
      </c>
      <c r="E43" s="46">
        <f t="shared" si="29"/>
        <v>0</v>
      </c>
      <c r="F43" s="46"/>
      <c r="G43" s="46"/>
      <c r="H43" s="46"/>
      <c r="I43" s="46"/>
      <c r="J43" s="72"/>
      <c r="K43" s="187"/>
      <c r="L43" s="170"/>
      <c r="M43" s="170"/>
      <c r="N43" s="170"/>
      <c r="O43" s="170"/>
      <c r="P43" s="170"/>
      <c r="Q43" s="275"/>
      <c r="R43" s="28"/>
    </row>
    <row r="44" spans="1:18" s="29" customFormat="1" x14ac:dyDescent="0.25">
      <c r="A44" s="168"/>
      <c r="B44" s="160"/>
      <c r="C44" s="168"/>
      <c r="D44" s="54" t="s">
        <v>14</v>
      </c>
      <c r="E44" s="46">
        <f t="shared" si="29"/>
        <v>0</v>
      </c>
      <c r="F44" s="46"/>
      <c r="G44" s="46"/>
      <c r="H44" s="46"/>
      <c r="I44" s="46"/>
      <c r="J44" s="72"/>
      <c r="K44" s="188"/>
      <c r="L44" s="171"/>
      <c r="M44" s="171"/>
      <c r="N44" s="171"/>
      <c r="O44" s="171"/>
      <c r="P44" s="171"/>
      <c r="Q44" s="276"/>
      <c r="R44" s="28"/>
    </row>
    <row r="45" spans="1:18" s="29" customFormat="1" ht="15" customHeight="1" x14ac:dyDescent="0.25">
      <c r="A45" s="166"/>
      <c r="B45" s="158"/>
      <c r="C45" s="166"/>
      <c r="D45" s="54" t="s">
        <v>9</v>
      </c>
      <c r="E45" s="46">
        <f>SUM(E46:E50)</f>
        <v>4033.9</v>
      </c>
      <c r="F45" s="46">
        <f t="shared" ref="F45:J45" si="30">SUM(F46:F50)</f>
        <v>784.5</v>
      </c>
      <c r="G45" s="46">
        <f t="shared" si="30"/>
        <v>936.1</v>
      </c>
      <c r="H45" s="46">
        <f t="shared" si="30"/>
        <v>771.1</v>
      </c>
      <c r="I45" s="46">
        <f t="shared" si="30"/>
        <v>771.1</v>
      </c>
      <c r="J45" s="72">
        <f t="shared" si="30"/>
        <v>771.1</v>
      </c>
      <c r="K45" s="186"/>
      <c r="L45" s="169"/>
      <c r="M45" s="169"/>
      <c r="N45" s="169"/>
      <c r="O45" s="169"/>
      <c r="P45" s="169"/>
      <c r="Q45" s="274" t="s">
        <v>71</v>
      </c>
      <c r="R45" s="28"/>
    </row>
    <row r="46" spans="1:18" s="29" customFormat="1" x14ac:dyDescent="0.25">
      <c r="A46" s="167"/>
      <c r="B46" s="159"/>
      <c r="C46" s="167"/>
      <c r="D46" s="155" t="s">
        <v>10</v>
      </c>
      <c r="E46" s="156"/>
      <c r="F46" s="156"/>
      <c r="G46" s="156"/>
      <c r="H46" s="156"/>
      <c r="I46" s="156"/>
      <c r="J46" s="156"/>
      <c r="K46" s="188"/>
      <c r="L46" s="171"/>
      <c r="M46" s="171"/>
      <c r="N46" s="171"/>
      <c r="O46" s="171"/>
      <c r="P46" s="170"/>
      <c r="Q46" s="275"/>
      <c r="R46" s="28"/>
    </row>
    <row r="47" spans="1:18" s="29" customFormat="1" ht="15" customHeight="1" x14ac:dyDescent="0.25">
      <c r="A47" s="167"/>
      <c r="B47" s="159"/>
      <c r="C47" s="167"/>
      <c r="D47" s="54" t="s">
        <v>11</v>
      </c>
      <c r="E47" s="46">
        <f>SUM(F47:J47)</f>
        <v>2814</v>
      </c>
      <c r="F47" s="46">
        <v>553.9</v>
      </c>
      <c r="G47" s="46">
        <f>749.6+165-G41-G53</f>
        <v>698.6</v>
      </c>
      <c r="H47" s="46">
        <f>736.5-H41-H53</f>
        <v>520.5</v>
      </c>
      <c r="I47" s="46">
        <f>736.5-I41-I53</f>
        <v>520.5</v>
      </c>
      <c r="J47" s="46">
        <f>I47</f>
        <v>520.5</v>
      </c>
      <c r="K47" s="186"/>
      <c r="L47" s="169"/>
      <c r="M47" s="169"/>
      <c r="N47" s="169"/>
      <c r="O47" s="169"/>
      <c r="P47" s="169"/>
      <c r="Q47" s="275"/>
      <c r="R47" s="28"/>
    </row>
    <row r="48" spans="1:18" s="29" customFormat="1" x14ac:dyDescent="0.25">
      <c r="A48" s="167"/>
      <c r="B48" s="159"/>
      <c r="C48" s="167"/>
      <c r="D48" s="54" t="s">
        <v>12</v>
      </c>
      <c r="E48" s="46">
        <f t="shared" ref="E48:E50" si="31">SUM(F48:J48)</f>
        <v>1219.9000000000001</v>
      </c>
      <c r="F48" s="46">
        <f>315.1-F42-F54</f>
        <v>230.60000000000002</v>
      </c>
      <c r="G48" s="46">
        <f>327.5-G42-G54</f>
        <v>237.5</v>
      </c>
      <c r="H48" s="46">
        <f>340.6-H42-H54</f>
        <v>250.60000000000002</v>
      </c>
      <c r="I48" s="46">
        <f>340.6-I42-I54</f>
        <v>250.60000000000002</v>
      </c>
      <c r="J48" s="46">
        <f>I48</f>
        <v>250.60000000000002</v>
      </c>
      <c r="K48" s="187"/>
      <c r="L48" s="170"/>
      <c r="M48" s="170"/>
      <c r="N48" s="170"/>
      <c r="O48" s="170"/>
      <c r="P48" s="170"/>
      <c r="Q48" s="275"/>
      <c r="R48" s="28"/>
    </row>
    <row r="49" spans="1:18" s="29" customFormat="1" x14ac:dyDescent="0.25">
      <c r="A49" s="167"/>
      <c r="B49" s="159"/>
      <c r="C49" s="167"/>
      <c r="D49" s="54" t="s">
        <v>13</v>
      </c>
      <c r="E49" s="46">
        <f t="shared" si="31"/>
        <v>0</v>
      </c>
      <c r="F49" s="46"/>
      <c r="G49" s="46"/>
      <c r="H49" s="46"/>
      <c r="I49" s="46"/>
      <c r="J49" s="72"/>
      <c r="K49" s="187"/>
      <c r="L49" s="170"/>
      <c r="M49" s="170"/>
      <c r="N49" s="170"/>
      <c r="O49" s="170"/>
      <c r="P49" s="170"/>
      <c r="Q49" s="275"/>
      <c r="R49" s="28"/>
    </row>
    <row r="50" spans="1:18" s="29" customFormat="1" x14ac:dyDescent="0.25">
      <c r="A50" s="168"/>
      <c r="B50" s="160"/>
      <c r="C50" s="168"/>
      <c r="D50" s="54" t="s">
        <v>14</v>
      </c>
      <c r="E50" s="46">
        <f t="shared" si="31"/>
        <v>0</v>
      </c>
      <c r="F50" s="46"/>
      <c r="G50" s="46"/>
      <c r="H50" s="46"/>
      <c r="I50" s="46"/>
      <c r="J50" s="72"/>
      <c r="K50" s="188"/>
      <c r="L50" s="171"/>
      <c r="M50" s="171"/>
      <c r="N50" s="171"/>
      <c r="O50" s="171"/>
      <c r="P50" s="171"/>
      <c r="Q50" s="276"/>
      <c r="R50" s="28"/>
    </row>
    <row r="51" spans="1:18" s="29" customFormat="1" ht="15" customHeight="1" x14ac:dyDescent="0.25">
      <c r="A51" s="166"/>
      <c r="B51" s="158"/>
      <c r="C51" s="166"/>
      <c r="D51" s="54" t="s">
        <v>9</v>
      </c>
      <c r="E51" s="46">
        <f>SUM(E52:E56)</f>
        <v>177.4</v>
      </c>
      <c r="F51" s="46">
        <f t="shared" ref="F51:J51" si="32">SUM(F52:F56)</f>
        <v>33.4</v>
      </c>
      <c r="G51" s="46">
        <f t="shared" si="32"/>
        <v>36</v>
      </c>
      <c r="H51" s="46">
        <f t="shared" si="32"/>
        <v>36</v>
      </c>
      <c r="I51" s="46">
        <f t="shared" si="32"/>
        <v>36</v>
      </c>
      <c r="J51" s="72">
        <f t="shared" si="32"/>
        <v>36</v>
      </c>
      <c r="K51" s="186"/>
      <c r="L51" s="169"/>
      <c r="M51" s="169"/>
      <c r="N51" s="169"/>
      <c r="O51" s="169"/>
      <c r="P51" s="169"/>
      <c r="Q51" s="274" t="s">
        <v>61</v>
      </c>
      <c r="R51" s="28"/>
    </row>
    <row r="52" spans="1:18" s="29" customFormat="1" x14ac:dyDescent="0.25">
      <c r="A52" s="167"/>
      <c r="B52" s="159"/>
      <c r="C52" s="167"/>
      <c r="D52" s="155" t="s">
        <v>10</v>
      </c>
      <c r="E52" s="156"/>
      <c r="F52" s="156"/>
      <c r="G52" s="156"/>
      <c r="H52" s="156"/>
      <c r="I52" s="156"/>
      <c r="J52" s="156"/>
      <c r="K52" s="188"/>
      <c r="L52" s="171"/>
      <c r="M52" s="171"/>
      <c r="N52" s="171"/>
      <c r="O52" s="171"/>
      <c r="P52" s="170"/>
      <c r="Q52" s="275"/>
      <c r="R52" s="28"/>
    </row>
    <row r="53" spans="1:18" s="29" customFormat="1" ht="15" customHeight="1" x14ac:dyDescent="0.25">
      <c r="A53" s="167"/>
      <c r="B53" s="159"/>
      <c r="C53" s="167"/>
      <c r="D53" s="54" t="s">
        <v>11</v>
      </c>
      <c r="E53" s="46">
        <f>SUM(F53:J53)</f>
        <v>128</v>
      </c>
      <c r="F53" s="46">
        <v>24</v>
      </c>
      <c r="G53" s="46">
        <v>26</v>
      </c>
      <c r="H53" s="46">
        <v>26</v>
      </c>
      <c r="I53" s="46">
        <v>26</v>
      </c>
      <c r="J53" s="46">
        <f>I53</f>
        <v>26</v>
      </c>
      <c r="K53" s="186"/>
      <c r="L53" s="169"/>
      <c r="M53" s="169"/>
      <c r="N53" s="169"/>
      <c r="O53" s="169"/>
      <c r="P53" s="169"/>
      <c r="Q53" s="275"/>
      <c r="R53" s="28"/>
    </row>
    <row r="54" spans="1:18" s="29" customFormat="1" x14ac:dyDescent="0.25">
      <c r="A54" s="167"/>
      <c r="B54" s="159"/>
      <c r="C54" s="167"/>
      <c r="D54" s="54" t="s">
        <v>12</v>
      </c>
      <c r="E54" s="46">
        <f t="shared" ref="E54:E56" si="33">SUM(F54:J54)</f>
        <v>49.4</v>
      </c>
      <c r="F54" s="46">
        <v>9.4</v>
      </c>
      <c r="G54" s="46">
        <v>10</v>
      </c>
      <c r="H54" s="46">
        <v>10</v>
      </c>
      <c r="I54" s="46">
        <v>10</v>
      </c>
      <c r="J54" s="46">
        <f>I54</f>
        <v>10</v>
      </c>
      <c r="K54" s="187"/>
      <c r="L54" s="170"/>
      <c r="M54" s="170"/>
      <c r="N54" s="170"/>
      <c r="O54" s="170"/>
      <c r="P54" s="170"/>
      <c r="Q54" s="275"/>
      <c r="R54" s="28"/>
    </row>
    <row r="55" spans="1:18" s="29" customFormat="1" x14ac:dyDescent="0.25">
      <c r="A55" s="167"/>
      <c r="B55" s="159"/>
      <c r="C55" s="167"/>
      <c r="D55" s="54" t="s">
        <v>13</v>
      </c>
      <c r="E55" s="46">
        <f t="shared" si="33"/>
        <v>0</v>
      </c>
      <c r="F55" s="46"/>
      <c r="G55" s="46"/>
      <c r="H55" s="46"/>
      <c r="I55" s="46"/>
      <c r="J55" s="72"/>
      <c r="K55" s="187"/>
      <c r="L55" s="170"/>
      <c r="M55" s="170"/>
      <c r="N55" s="170"/>
      <c r="O55" s="170"/>
      <c r="P55" s="170"/>
      <c r="Q55" s="275"/>
      <c r="R55" s="28"/>
    </row>
    <row r="56" spans="1:18" s="29" customFormat="1" x14ac:dyDescent="0.25">
      <c r="A56" s="168"/>
      <c r="B56" s="160"/>
      <c r="C56" s="168"/>
      <c r="D56" s="54" t="s">
        <v>14</v>
      </c>
      <c r="E56" s="46">
        <f t="shared" si="33"/>
        <v>0</v>
      </c>
      <c r="F56" s="46"/>
      <c r="G56" s="46"/>
      <c r="H56" s="46"/>
      <c r="I56" s="46"/>
      <c r="J56" s="72"/>
      <c r="K56" s="188"/>
      <c r="L56" s="171"/>
      <c r="M56" s="171"/>
      <c r="N56" s="171"/>
      <c r="O56" s="171"/>
      <c r="P56" s="171"/>
      <c r="Q56" s="276"/>
      <c r="R56" s="28"/>
    </row>
    <row r="57" spans="1:18" s="29" customFormat="1" ht="15" customHeight="1" x14ac:dyDescent="0.25">
      <c r="A57" s="189" t="s">
        <v>65</v>
      </c>
      <c r="B57" s="277" t="s">
        <v>284</v>
      </c>
      <c r="C57" s="239"/>
      <c r="D57" s="54" t="s">
        <v>9</v>
      </c>
      <c r="E57" s="46">
        <f t="shared" ref="E57:J57" si="34">SUM(E58:E62)</f>
        <v>670</v>
      </c>
      <c r="F57" s="46">
        <f t="shared" si="34"/>
        <v>670</v>
      </c>
      <c r="G57" s="46">
        <f t="shared" si="34"/>
        <v>0</v>
      </c>
      <c r="H57" s="46">
        <f t="shared" si="34"/>
        <v>0</v>
      </c>
      <c r="I57" s="46">
        <f t="shared" si="34"/>
        <v>0</v>
      </c>
      <c r="J57" s="46">
        <f t="shared" si="34"/>
        <v>0</v>
      </c>
      <c r="K57" s="186"/>
      <c r="L57" s="169"/>
      <c r="M57" s="169"/>
      <c r="N57" s="169"/>
      <c r="O57" s="169"/>
      <c r="P57" s="169"/>
      <c r="Q57" s="161" t="s">
        <v>62</v>
      </c>
      <c r="R57" s="28"/>
    </row>
    <row r="58" spans="1:18" s="29" customFormat="1" x14ac:dyDescent="0.25">
      <c r="A58" s="189"/>
      <c r="B58" s="278"/>
      <c r="C58" s="239"/>
      <c r="D58" s="155" t="s">
        <v>10</v>
      </c>
      <c r="E58" s="156"/>
      <c r="F58" s="156"/>
      <c r="G58" s="156"/>
      <c r="H58" s="156"/>
      <c r="I58" s="156"/>
      <c r="J58" s="157"/>
      <c r="K58" s="188"/>
      <c r="L58" s="171"/>
      <c r="M58" s="171"/>
      <c r="N58" s="171"/>
      <c r="O58" s="171"/>
      <c r="P58" s="171"/>
      <c r="Q58" s="162"/>
      <c r="R58" s="28"/>
    </row>
    <row r="59" spans="1:18" s="29" customFormat="1" ht="15" customHeight="1" x14ac:dyDescent="0.25">
      <c r="A59" s="189"/>
      <c r="B59" s="278"/>
      <c r="C59" s="239"/>
      <c r="D59" s="54" t="s">
        <v>11</v>
      </c>
      <c r="E59" s="46">
        <f>SUM(F59:J59)</f>
        <v>670</v>
      </c>
      <c r="F59" s="46">
        <f>F65+F71+F77</f>
        <v>670</v>
      </c>
      <c r="G59" s="46">
        <f t="shared" ref="G59:J59" si="35">G65+G71+G77</f>
        <v>0</v>
      </c>
      <c r="H59" s="46">
        <f t="shared" si="35"/>
        <v>0</v>
      </c>
      <c r="I59" s="46">
        <f t="shared" si="35"/>
        <v>0</v>
      </c>
      <c r="J59" s="46">
        <f t="shared" si="35"/>
        <v>0</v>
      </c>
      <c r="K59" s="186"/>
      <c r="L59" s="169"/>
      <c r="M59" s="169"/>
      <c r="N59" s="169"/>
      <c r="O59" s="169"/>
      <c r="P59" s="169"/>
      <c r="Q59" s="162"/>
      <c r="R59" s="28"/>
    </row>
    <row r="60" spans="1:18" s="29" customFormat="1" x14ac:dyDescent="0.25">
      <c r="A60" s="189"/>
      <c r="B60" s="278"/>
      <c r="C60" s="239"/>
      <c r="D60" s="54" t="s">
        <v>12</v>
      </c>
      <c r="E60" s="46">
        <f t="shared" ref="E60:E62" si="36">SUM(F60:J60)</f>
        <v>0</v>
      </c>
      <c r="F60" s="46">
        <f t="shared" ref="F60:J60" si="37">F66+F72+F78</f>
        <v>0</v>
      </c>
      <c r="G60" s="46">
        <f t="shared" si="37"/>
        <v>0</v>
      </c>
      <c r="H60" s="46">
        <f t="shared" si="37"/>
        <v>0</v>
      </c>
      <c r="I60" s="46">
        <f t="shared" si="37"/>
        <v>0</v>
      </c>
      <c r="J60" s="46">
        <f t="shared" si="37"/>
        <v>0</v>
      </c>
      <c r="K60" s="187"/>
      <c r="L60" s="170"/>
      <c r="M60" s="170"/>
      <c r="N60" s="170"/>
      <c r="O60" s="170"/>
      <c r="P60" s="170"/>
      <c r="Q60" s="162"/>
      <c r="R60" s="28"/>
    </row>
    <row r="61" spans="1:18" s="29" customFormat="1" x14ac:dyDescent="0.25">
      <c r="A61" s="189"/>
      <c r="B61" s="278"/>
      <c r="C61" s="239"/>
      <c r="D61" s="54" t="s">
        <v>13</v>
      </c>
      <c r="E61" s="46">
        <f t="shared" si="36"/>
        <v>0</v>
      </c>
      <c r="F61" s="46">
        <f t="shared" ref="F61:J61" si="38">F67+F73+F79</f>
        <v>0</v>
      </c>
      <c r="G61" s="46">
        <f t="shared" si="38"/>
        <v>0</v>
      </c>
      <c r="H61" s="46">
        <f t="shared" si="38"/>
        <v>0</v>
      </c>
      <c r="I61" s="46">
        <f t="shared" si="38"/>
        <v>0</v>
      </c>
      <c r="J61" s="46">
        <f t="shared" si="38"/>
        <v>0</v>
      </c>
      <c r="K61" s="187"/>
      <c r="L61" s="170"/>
      <c r="M61" s="170"/>
      <c r="N61" s="170"/>
      <c r="O61" s="170"/>
      <c r="P61" s="170"/>
      <c r="Q61" s="162"/>
      <c r="R61" s="28"/>
    </row>
    <row r="62" spans="1:18" s="29" customFormat="1" x14ac:dyDescent="0.25">
      <c r="A62" s="189"/>
      <c r="B62" s="279"/>
      <c r="C62" s="239"/>
      <c r="D62" s="54" t="s">
        <v>14</v>
      </c>
      <c r="E62" s="46">
        <f t="shared" si="36"/>
        <v>0</v>
      </c>
      <c r="F62" s="46">
        <f t="shared" ref="F62:J62" si="39">F68+F74+F80</f>
        <v>0</v>
      </c>
      <c r="G62" s="46">
        <f t="shared" si="39"/>
        <v>0</v>
      </c>
      <c r="H62" s="46">
        <f t="shared" si="39"/>
        <v>0</v>
      </c>
      <c r="I62" s="46">
        <f t="shared" si="39"/>
        <v>0</v>
      </c>
      <c r="J62" s="46">
        <f t="shared" si="39"/>
        <v>0</v>
      </c>
      <c r="K62" s="188"/>
      <c r="L62" s="171"/>
      <c r="M62" s="171"/>
      <c r="N62" s="171"/>
      <c r="O62" s="171"/>
      <c r="P62" s="171"/>
      <c r="Q62" s="163"/>
      <c r="R62" s="28"/>
    </row>
    <row r="63" spans="1:18" s="29" customFormat="1" ht="15" customHeight="1" x14ac:dyDescent="0.25">
      <c r="A63" s="166"/>
      <c r="B63" s="158"/>
      <c r="C63" s="166"/>
      <c r="D63" s="54" t="s">
        <v>9</v>
      </c>
      <c r="E63" s="46">
        <f>SUM(E64:E68)</f>
        <v>325</v>
      </c>
      <c r="F63" s="46">
        <f t="shared" ref="F63:J63" si="40">SUM(F64:F68)</f>
        <v>325</v>
      </c>
      <c r="G63" s="46">
        <f t="shared" si="40"/>
        <v>0</v>
      </c>
      <c r="H63" s="46">
        <f t="shared" si="40"/>
        <v>0</v>
      </c>
      <c r="I63" s="46">
        <f t="shared" si="40"/>
        <v>0</v>
      </c>
      <c r="J63" s="72">
        <f t="shared" si="40"/>
        <v>0</v>
      </c>
      <c r="K63" s="186"/>
      <c r="L63" s="169"/>
      <c r="M63" s="169"/>
      <c r="N63" s="169"/>
      <c r="O63" s="169"/>
      <c r="P63" s="169"/>
      <c r="Q63" s="274" t="s">
        <v>70</v>
      </c>
      <c r="R63" s="28"/>
    </row>
    <row r="64" spans="1:18" s="29" customFormat="1" x14ac:dyDescent="0.25">
      <c r="A64" s="167"/>
      <c r="B64" s="159"/>
      <c r="C64" s="167"/>
      <c r="D64" s="155" t="s">
        <v>10</v>
      </c>
      <c r="E64" s="156"/>
      <c r="F64" s="156"/>
      <c r="G64" s="156"/>
      <c r="H64" s="156"/>
      <c r="I64" s="156"/>
      <c r="J64" s="156"/>
      <c r="K64" s="188"/>
      <c r="L64" s="171"/>
      <c r="M64" s="171"/>
      <c r="N64" s="171"/>
      <c r="O64" s="171"/>
      <c r="P64" s="170"/>
      <c r="Q64" s="275"/>
      <c r="R64" s="28"/>
    </row>
    <row r="65" spans="1:18" s="29" customFormat="1" ht="15" customHeight="1" x14ac:dyDescent="0.25">
      <c r="A65" s="167"/>
      <c r="B65" s="159"/>
      <c r="C65" s="167"/>
      <c r="D65" s="54" t="s">
        <v>11</v>
      </c>
      <c r="E65" s="46">
        <f>SUM(F65:J65)</f>
        <v>325</v>
      </c>
      <c r="F65" s="46">
        <v>325</v>
      </c>
      <c r="G65" s="46"/>
      <c r="H65" s="46"/>
      <c r="I65" s="46"/>
      <c r="J65" s="46"/>
      <c r="K65" s="186"/>
      <c r="L65" s="169"/>
      <c r="M65" s="169"/>
      <c r="N65" s="169"/>
      <c r="O65" s="169"/>
      <c r="P65" s="169"/>
      <c r="Q65" s="275"/>
      <c r="R65" s="28"/>
    </row>
    <row r="66" spans="1:18" s="29" customFormat="1" x14ac:dyDescent="0.25">
      <c r="A66" s="167"/>
      <c r="B66" s="159"/>
      <c r="C66" s="167"/>
      <c r="D66" s="54" t="s">
        <v>12</v>
      </c>
      <c r="E66" s="46">
        <f t="shared" ref="E66:E68" si="41">SUM(F66:J66)</f>
        <v>0</v>
      </c>
      <c r="F66" s="46"/>
      <c r="G66" s="46"/>
      <c r="H66" s="46"/>
      <c r="I66" s="46"/>
      <c r="J66" s="46"/>
      <c r="K66" s="187"/>
      <c r="L66" s="170"/>
      <c r="M66" s="170"/>
      <c r="N66" s="170"/>
      <c r="O66" s="170"/>
      <c r="P66" s="170"/>
      <c r="Q66" s="275"/>
      <c r="R66" s="28"/>
    </row>
    <row r="67" spans="1:18" s="29" customFormat="1" x14ac:dyDescent="0.25">
      <c r="A67" s="167"/>
      <c r="B67" s="159"/>
      <c r="C67" s="167"/>
      <c r="D67" s="54" t="s">
        <v>13</v>
      </c>
      <c r="E67" s="46">
        <f t="shared" si="41"/>
        <v>0</v>
      </c>
      <c r="F67" s="46"/>
      <c r="G67" s="46"/>
      <c r="H67" s="46"/>
      <c r="I67" s="46"/>
      <c r="J67" s="72"/>
      <c r="K67" s="187"/>
      <c r="L67" s="170"/>
      <c r="M67" s="170"/>
      <c r="N67" s="170"/>
      <c r="O67" s="170"/>
      <c r="P67" s="170"/>
      <c r="Q67" s="275"/>
      <c r="R67" s="28"/>
    </row>
    <row r="68" spans="1:18" s="29" customFormat="1" x14ac:dyDescent="0.25">
      <c r="A68" s="168"/>
      <c r="B68" s="160"/>
      <c r="C68" s="168"/>
      <c r="D68" s="54" t="s">
        <v>14</v>
      </c>
      <c r="E68" s="46">
        <f t="shared" si="41"/>
        <v>0</v>
      </c>
      <c r="F68" s="46"/>
      <c r="G68" s="46"/>
      <c r="H68" s="46"/>
      <c r="I68" s="46"/>
      <c r="J68" s="72"/>
      <c r="K68" s="188"/>
      <c r="L68" s="171"/>
      <c r="M68" s="171"/>
      <c r="N68" s="171"/>
      <c r="O68" s="171"/>
      <c r="P68" s="171"/>
      <c r="Q68" s="276"/>
      <c r="R68" s="28"/>
    </row>
    <row r="69" spans="1:18" s="29" customFormat="1" ht="15" customHeight="1" x14ac:dyDescent="0.25">
      <c r="A69" s="166"/>
      <c r="B69" s="158"/>
      <c r="C69" s="166"/>
      <c r="D69" s="54" t="s">
        <v>9</v>
      </c>
      <c r="E69" s="46">
        <f>SUM(E70:E74)</f>
        <v>295</v>
      </c>
      <c r="F69" s="46">
        <f t="shared" ref="F69:J69" si="42">SUM(F70:F74)</f>
        <v>295</v>
      </c>
      <c r="G69" s="46">
        <f t="shared" si="42"/>
        <v>0</v>
      </c>
      <c r="H69" s="46">
        <f t="shared" si="42"/>
        <v>0</v>
      </c>
      <c r="I69" s="46">
        <f t="shared" si="42"/>
        <v>0</v>
      </c>
      <c r="J69" s="72">
        <f t="shared" si="42"/>
        <v>0</v>
      </c>
      <c r="K69" s="186"/>
      <c r="L69" s="169"/>
      <c r="M69" s="169"/>
      <c r="N69" s="169"/>
      <c r="O69" s="169"/>
      <c r="P69" s="169"/>
      <c r="Q69" s="274" t="s">
        <v>71</v>
      </c>
      <c r="R69" s="28"/>
    </row>
    <row r="70" spans="1:18" s="29" customFormat="1" x14ac:dyDescent="0.25">
      <c r="A70" s="167"/>
      <c r="B70" s="159"/>
      <c r="C70" s="167"/>
      <c r="D70" s="155" t="s">
        <v>10</v>
      </c>
      <c r="E70" s="156"/>
      <c r="F70" s="156"/>
      <c r="G70" s="156"/>
      <c r="H70" s="156"/>
      <c r="I70" s="156"/>
      <c r="J70" s="156"/>
      <c r="K70" s="188"/>
      <c r="L70" s="171"/>
      <c r="M70" s="171"/>
      <c r="N70" s="171"/>
      <c r="O70" s="171"/>
      <c r="P70" s="170"/>
      <c r="Q70" s="275"/>
      <c r="R70" s="28"/>
    </row>
    <row r="71" spans="1:18" s="29" customFormat="1" ht="15" customHeight="1" x14ac:dyDescent="0.25">
      <c r="A71" s="167"/>
      <c r="B71" s="159"/>
      <c r="C71" s="167"/>
      <c r="D71" s="54" t="s">
        <v>11</v>
      </c>
      <c r="E71" s="46">
        <f>SUM(F71:J71)</f>
        <v>295</v>
      </c>
      <c r="F71" s="46">
        <v>295</v>
      </c>
      <c r="G71" s="46"/>
      <c r="H71" s="46"/>
      <c r="I71" s="46"/>
      <c r="J71" s="46"/>
      <c r="K71" s="186"/>
      <c r="L71" s="169"/>
      <c r="M71" s="169"/>
      <c r="N71" s="169"/>
      <c r="O71" s="169"/>
      <c r="P71" s="169"/>
      <c r="Q71" s="275"/>
      <c r="R71" s="28"/>
    </row>
    <row r="72" spans="1:18" s="29" customFormat="1" x14ac:dyDescent="0.25">
      <c r="A72" s="167"/>
      <c r="B72" s="159"/>
      <c r="C72" s="167"/>
      <c r="D72" s="54" t="s">
        <v>12</v>
      </c>
      <c r="E72" s="46">
        <f t="shared" ref="E72:E74" si="43">SUM(F72:J72)</f>
        <v>0</v>
      </c>
      <c r="F72" s="46"/>
      <c r="G72" s="46"/>
      <c r="H72" s="46"/>
      <c r="I72" s="46"/>
      <c r="J72" s="46"/>
      <c r="K72" s="187"/>
      <c r="L72" s="170"/>
      <c r="M72" s="170"/>
      <c r="N72" s="170"/>
      <c r="O72" s="170"/>
      <c r="P72" s="170"/>
      <c r="Q72" s="275"/>
      <c r="R72" s="28"/>
    </row>
    <row r="73" spans="1:18" s="29" customFormat="1" x14ac:dyDescent="0.25">
      <c r="A73" s="167"/>
      <c r="B73" s="159"/>
      <c r="C73" s="167"/>
      <c r="D73" s="54" t="s">
        <v>13</v>
      </c>
      <c r="E73" s="46">
        <f t="shared" si="43"/>
        <v>0</v>
      </c>
      <c r="F73" s="46"/>
      <c r="G73" s="46"/>
      <c r="H73" s="46"/>
      <c r="I73" s="46"/>
      <c r="J73" s="72"/>
      <c r="K73" s="187"/>
      <c r="L73" s="170"/>
      <c r="M73" s="170"/>
      <c r="N73" s="170"/>
      <c r="O73" s="170"/>
      <c r="P73" s="170"/>
      <c r="Q73" s="275"/>
      <c r="R73" s="28"/>
    </row>
    <row r="74" spans="1:18" s="29" customFormat="1" x14ac:dyDescent="0.25">
      <c r="A74" s="168"/>
      <c r="B74" s="160"/>
      <c r="C74" s="168"/>
      <c r="D74" s="54" t="s">
        <v>14</v>
      </c>
      <c r="E74" s="46">
        <f t="shared" si="43"/>
        <v>0</v>
      </c>
      <c r="F74" s="46"/>
      <c r="G74" s="46"/>
      <c r="H74" s="46"/>
      <c r="I74" s="46"/>
      <c r="J74" s="72"/>
      <c r="K74" s="188"/>
      <c r="L74" s="171"/>
      <c r="M74" s="171"/>
      <c r="N74" s="171"/>
      <c r="O74" s="171"/>
      <c r="P74" s="171"/>
      <c r="Q74" s="276"/>
      <c r="R74" s="28"/>
    </row>
    <row r="75" spans="1:18" s="29" customFormat="1" ht="15" customHeight="1" x14ac:dyDescent="0.25">
      <c r="A75" s="166"/>
      <c r="B75" s="158"/>
      <c r="C75" s="166"/>
      <c r="D75" s="54" t="s">
        <v>9</v>
      </c>
      <c r="E75" s="46">
        <f>SUM(E76:E80)</f>
        <v>50</v>
      </c>
      <c r="F75" s="46">
        <f t="shared" ref="F75:J75" si="44">SUM(F76:F80)</f>
        <v>50</v>
      </c>
      <c r="G75" s="46">
        <f t="shared" si="44"/>
        <v>0</v>
      </c>
      <c r="H75" s="46">
        <f t="shared" si="44"/>
        <v>0</v>
      </c>
      <c r="I75" s="46">
        <f t="shared" si="44"/>
        <v>0</v>
      </c>
      <c r="J75" s="72">
        <f t="shared" si="44"/>
        <v>0</v>
      </c>
      <c r="K75" s="186"/>
      <c r="L75" s="169"/>
      <c r="M75" s="169"/>
      <c r="N75" s="169"/>
      <c r="O75" s="169"/>
      <c r="P75" s="169"/>
      <c r="Q75" s="274" t="s">
        <v>61</v>
      </c>
      <c r="R75" s="28"/>
    </row>
    <row r="76" spans="1:18" s="29" customFormat="1" x14ac:dyDescent="0.25">
      <c r="A76" s="167"/>
      <c r="B76" s="159"/>
      <c r="C76" s="167"/>
      <c r="D76" s="155" t="s">
        <v>10</v>
      </c>
      <c r="E76" s="156"/>
      <c r="F76" s="156"/>
      <c r="G76" s="156"/>
      <c r="H76" s="156"/>
      <c r="I76" s="156"/>
      <c r="J76" s="156"/>
      <c r="K76" s="188"/>
      <c r="L76" s="171"/>
      <c r="M76" s="171"/>
      <c r="N76" s="171"/>
      <c r="O76" s="171"/>
      <c r="P76" s="170"/>
      <c r="Q76" s="275"/>
      <c r="R76" s="28"/>
    </row>
    <row r="77" spans="1:18" s="29" customFormat="1" ht="15" customHeight="1" x14ac:dyDescent="0.25">
      <c r="A77" s="167"/>
      <c r="B77" s="159"/>
      <c r="C77" s="167"/>
      <c r="D77" s="54" t="s">
        <v>11</v>
      </c>
      <c r="E77" s="46">
        <f>SUM(F77:J77)</f>
        <v>50</v>
      </c>
      <c r="F77" s="46">
        <v>50</v>
      </c>
      <c r="G77" s="46"/>
      <c r="H77" s="46"/>
      <c r="I77" s="46"/>
      <c r="J77" s="46"/>
      <c r="K77" s="186"/>
      <c r="L77" s="169"/>
      <c r="M77" s="169"/>
      <c r="N77" s="169"/>
      <c r="O77" s="169"/>
      <c r="P77" s="169"/>
      <c r="Q77" s="275"/>
      <c r="R77" s="28"/>
    </row>
    <row r="78" spans="1:18" s="29" customFormat="1" x14ac:dyDescent="0.25">
      <c r="A78" s="167"/>
      <c r="B78" s="159"/>
      <c r="C78" s="167"/>
      <c r="D78" s="54" t="s">
        <v>12</v>
      </c>
      <c r="E78" s="46">
        <f t="shared" ref="E78:E80" si="45">SUM(F78:J78)</f>
        <v>0</v>
      </c>
      <c r="F78" s="46"/>
      <c r="G78" s="46"/>
      <c r="H78" s="46"/>
      <c r="I78" s="46"/>
      <c r="J78" s="46"/>
      <c r="K78" s="187"/>
      <c r="L78" s="170"/>
      <c r="M78" s="170"/>
      <c r="N78" s="170"/>
      <c r="O78" s="170"/>
      <c r="P78" s="170"/>
      <c r="Q78" s="275"/>
      <c r="R78" s="28"/>
    </row>
    <row r="79" spans="1:18" s="29" customFormat="1" x14ac:dyDescent="0.25">
      <c r="A79" s="167"/>
      <c r="B79" s="159"/>
      <c r="C79" s="167"/>
      <c r="D79" s="54" t="s">
        <v>13</v>
      </c>
      <c r="E79" s="46">
        <f t="shared" si="45"/>
        <v>0</v>
      </c>
      <c r="F79" s="46"/>
      <c r="G79" s="46"/>
      <c r="H79" s="46"/>
      <c r="I79" s="46"/>
      <c r="J79" s="72"/>
      <c r="K79" s="187"/>
      <c r="L79" s="170"/>
      <c r="M79" s="170"/>
      <c r="N79" s="170"/>
      <c r="O79" s="170"/>
      <c r="P79" s="170"/>
      <c r="Q79" s="275"/>
      <c r="R79" s="28"/>
    </row>
    <row r="80" spans="1:18" s="29" customFormat="1" x14ac:dyDescent="0.25">
      <c r="A80" s="168"/>
      <c r="B80" s="160"/>
      <c r="C80" s="168"/>
      <c r="D80" s="54" t="s">
        <v>14</v>
      </c>
      <c r="E80" s="46">
        <f t="shared" si="45"/>
        <v>0</v>
      </c>
      <c r="F80" s="46"/>
      <c r="G80" s="46"/>
      <c r="H80" s="46"/>
      <c r="I80" s="46"/>
      <c r="J80" s="72"/>
      <c r="K80" s="188"/>
      <c r="L80" s="171"/>
      <c r="M80" s="171"/>
      <c r="N80" s="171"/>
      <c r="O80" s="171"/>
      <c r="P80" s="171"/>
      <c r="Q80" s="276"/>
      <c r="R80" s="28"/>
    </row>
    <row r="81" spans="1:18" s="29" customFormat="1" x14ac:dyDescent="0.25">
      <c r="A81" s="207"/>
      <c r="B81" s="213" t="s">
        <v>90</v>
      </c>
      <c r="C81" s="207"/>
      <c r="D81" s="54" t="s">
        <v>9</v>
      </c>
      <c r="E81" s="46">
        <f t="shared" ref="E81:J81" si="46">SUM(E82:E86)</f>
        <v>104248.03294</v>
      </c>
      <c r="F81" s="46">
        <f t="shared" si="46"/>
        <v>18958.690000000002</v>
      </c>
      <c r="G81" s="46">
        <f t="shared" si="46"/>
        <v>20841.610229999998</v>
      </c>
      <c r="H81" s="46">
        <f t="shared" si="46"/>
        <v>21219.236069999999</v>
      </c>
      <c r="I81" s="46">
        <f t="shared" si="46"/>
        <v>21614.248319999999</v>
      </c>
      <c r="J81" s="72">
        <f t="shared" si="46"/>
        <v>21614.248319999999</v>
      </c>
      <c r="K81" s="207"/>
      <c r="L81" s="207"/>
      <c r="M81" s="207"/>
      <c r="N81" s="207"/>
      <c r="O81" s="305"/>
      <c r="P81" s="207"/>
      <c r="Q81" s="302"/>
      <c r="R81" s="28"/>
    </row>
    <row r="82" spans="1:18" s="29" customFormat="1" x14ac:dyDescent="0.25">
      <c r="A82" s="208"/>
      <c r="B82" s="213"/>
      <c r="C82" s="208"/>
      <c r="D82" s="155" t="s">
        <v>10</v>
      </c>
      <c r="E82" s="156"/>
      <c r="F82" s="156"/>
      <c r="G82" s="156"/>
      <c r="H82" s="156"/>
      <c r="I82" s="156"/>
      <c r="J82" s="156"/>
      <c r="K82" s="208"/>
      <c r="L82" s="208"/>
      <c r="M82" s="208"/>
      <c r="N82" s="208"/>
      <c r="O82" s="306"/>
      <c r="P82" s="208"/>
      <c r="Q82" s="303"/>
      <c r="R82" s="28"/>
    </row>
    <row r="83" spans="1:18" s="29" customFormat="1" x14ac:dyDescent="0.25">
      <c r="A83" s="208"/>
      <c r="B83" s="213"/>
      <c r="C83" s="208"/>
      <c r="D83" s="54" t="s">
        <v>11</v>
      </c>
      <c r="E83" s="46">
        <f>SUM(F83:J83)</f>
        <v>17447.539510000002</v>
      </c>
      <c r="F83" s="46">
        <f>F11+F35+F59</f>
        <v>4069.1945700000006</v>
      </c>
      <c r="G83" s="46">
        <f t="shared" ref="G83:J83" si="47">G11+G35+G59</f>
        <v>3472.1612300000002</v>
      </c>
      <c r="H83" s="46">
        <f t="shared" si="47"/>
        <v>3299.6530699999998</v>
      </c>
      <c r="I83" s="46">
        <f t="shared" si="47"/>
        <v>3303.26532</v>
      </c>
      <c r="J83" s="46">
        <f t="shared" si="47"/>
        <v>3303.26532</v>
      </c>
      <c r="K83" s="208"/>
      <c r="L83" s="208"/>
      <c r="M83" s="208"/>
      <c r="N83" s="208"/>
      <c r="O83" s="306"/>
      <c r="P83" s="208"/>
      <c r="Q83" s="303"/>
      <c r="R83" s="28"/>
    </row>
    <row r="84" spans="1:18" s="29" customFormat="1" x14ac:dyDescent="0.25">
      <c r="A84" s="208"/>
      <c r="B84" s="213"/>
      <c r="C84" s="208"/>
      <c r="D84" s="54" t="s">
        <v>12</v>
      </c>
      <c r="E84" s="46">
        <f t="shared" ref="E84:E86" si="48">SUM(F84:J84)</f>
        <v>39161.9</v>
      </c>
      <c r="F84" s="46">
        <f t="shared" ref="F84:J85" si="49">F12+F36+F60</f>
        <v>6746.8000000000011</v>
      </c>
      <c r="G84" s="46">
        <f t="shared" si="49"/>
        <v>7696.2000000000007</v>
      </c>
      <c r="H84" s="46">
        <f t="shared" si="49"/>
        <v>7978.7</v>
      </c>
      <c r="I84" s="46">
        <f t="shared" si="49"/>
        <v>8370.1</v>
      </c>
      <c r="J84" s="46">
        <f t="shared" si="49"/>
        <v>8370.1</v>
      </c>
      <c r="K84" s="208"/>
      <c r="L84" s="208"/>
      <c r="M84" s="208"/>
      <c r="N84" s="208"/>
      <c r="O84" s="306"/>
      <c r="P84" s="208"/>
      <c r="Q84" s="303"/>
      <c r="R84" s="28"/>
    </row>
    <row r="85" spans="1:18" s="29" customFormat="1" x14ac:dyDescent="0.25">
      <c r="A85" s="208"/>
      <c r="B85" s="213"/>
      <c r="C85" s="208"/>
      <c r="D85" s="54" t="s">
        <v>13</v>
      </c>
      <c r="E85" s="46">
        <f t="shared" si="48"/>
        <v>27858.593430000001</v>
      </c>
      <c r="F85" s="46">
        <f t="shared" si="49"/>
        <v>2442.6954299999998</v>
      </c>
      <c r="G85" s="46">
        <f t="shared" si="49"/>
        <v>6153.2489999999998</v>
      </c>
      <c r="H85" s="46">
        <f t="shared" si="49"/>
        <v>6420.8829999999998</v>
      </c>
      <c r="I85" s="46">
        <f t="shared" si="49"/>
        <v>6420.8829999999998</v>
      </c>
      <c r="J85" s="46">
        <f t="shared" si="49"/>
        <v>6420.8829999999998</v>
      </c>
      <c r="K85" s="208"/>
      <c r="L85" s="208"/>
      <c r="M85" s="208"/>
      <c r="N85" s="208"/>
      <c r="O85" s="306"/>
      <c r="P85" s="208"/>
      <c r="Q85" s="303"/>
      <c r="R85" s="28"/>
    </row>
    <row r="86" spans="1:18" s="29" customFormat="1" x14ac:dyDescent="0.25">
      <c r="A86" s="209"/>
      <c r="B86" s="213"/>
      <c r="C86" s="209"/>
      <c r="D86" s="54" t="s">
        <v>14</v>
      </c>
      <c r="E86" s="46">
        <f t="shared" si="48"/>
        <v>19780</v>
      </c>
      <c r="F86" s="46">
        <f>F14+F38+F62</f>
        <v>5700</v>
      </c>
      <c r="G86" s="46">
        <f t="shared" ref="G86:J86" si="50">G14+G38+G62</f>
        <v>3520</v>
      </c>
      <c r="H86" s="46">
        <f t="shared" si="50"/>
        <v>3520</v>
      </c>
      <c r="I86" s="46">
        <f t="shared" si="50"/>
        <v>3520</v>
      </c>
      <c r="J86" s="46">
        <f t="shared" si="50"/>
        <v>3520</v>
      </c>
      <c r="K86" s="209"/>
      <c r="L86" s="209"/>
      <c r="M86" s="209"/>
      <c r="N86" s="209"/>
      <c r="O86" s="307"/>
      <c r="P86" s="209"/>
      <c r="Q86" s="304"/>
      <c r="R86" s="28"/>
    </row>
    <row r="87" spans="1:18" hidden="1" x14ac:dyDescent="0.25">
      <c r="A87" s="116" t="s">
        <v>20</v>
      </c>
      <c r="B87" s="272" t="s">
        <v>21</v>
      </c>
      <c r="C87" s="272"/>
      <c r="D87" s="272"/>
      <c r="E87" s="272"/>
      <c r="F87" s="272"/>
      <c r="G87" s="272"/>
      <c r="H87" s="272"/>
      <c r="I87" s="272"/>
      <c r="J87" s="272"/>
      <c r="K87" s="283"/>
      <c r="L87" s="283"/>
      <c r="M87" s="283"/>
      <c r="N87" s="283"/>
      <c r="O87" s="283"/>
      <c r="P87" s="283"/>
      <c r="Q87" s="283"/>
      <c r="R87" s="63"/>
    </row>
    <row r="88" spans="1:18" hidden="1" x14ac:dyDescent="0.25">
      <c r="A88" s="301" t="s">
        <v>24</v>
      </c>
      <c r="B88" s="284" t="s">
        <v>76</v>
      </c>
      <c r="C88" s="285"/>
      <c r="D88" s="73" t="s">
        <v>9</v>
      </c>
      <c r="E88" s="116">
        <f t="shared" ref="E88" si="51">SUM(E89:E93)</f>
        <v>0</v>
      </c>
      <c r="F88" s="116">
        <f t="shared" ref="F88" si="52">SUM(F89:F93)</f>
        <v>0</v>
      </c>
      <c r="G88" s="116"/>
      <c r="H88" s="116"/>
      <c r="I88" s="74">
        <f t="shared" ref="I88" si="53">SUM(I89:I93)</f>
        <v>0</v>
      </c>
      <c r="J88" s="74">
        <f t="shared" ref="J88" si="54">SUM(J89:J93)</f>
        <v>0</v>
      </c>
      <c r="K88" s="113"/>
      <c r="L88" s="113"/>
      <c r="M88" s="113"/>
      <c r="N88" s="113"/>
      <c r="O88" s="113"/>
      <c r="P88" s="113"/>
      <c r="Q88" s="295" t="s">
        <v>62</v>
      </c>
      <c r="R88" s="63"/>
    </row>
    <row r="89" spans="1:18" hidden="1" x14ac:dyDescent="0.25">
      <c r="A89" s="301"/>
      <c r="B89" s="284"/>
      <c r="C89" s="285"/>
      <c r="D89" s="286" t="s">
        <v>10</v>
      </c>
      <c r="E89" s="287"/>
      <c r="F89" s="287"/>
      <c r="G89" s="287"/>
      <c r="H89" s="287"/>
      <c r="I89" s="287"/>
      <c r="J89" s="288"/>
      <c r="K89" s="113"/>
      <c r="L89" s="113"/>
      <c r="M89" s="113"/>
      <c r="N89" s="113"/>
      <c r="O89" s="113"/>
      <c r="P89" s="113"/>
      <c r="Q89" s="296"/>
      <c r="R89" s="63"/>
    </row>
    <row r="90" spans="1:18" hidden="1" x14ac:dyDescent="0.25">
      <c r="A90" s="301"/>
      <c r="B90" s="284"/>
      <c r="C90" s="285"/>
      <c r="D90" s="73" t="s">
        <v>11</v>
      </c>
      <c r="E90" s="116">
        <f t="shared" ref="E90:E93" si="55">F90+I90+J90</f>
        <v>0</v>
      </c>
      <c r="F90" s="116">
        <f>F96+F102+F108</f>
        <v>0</v>
      </c>
      <c r="G90" s="116"/>
      <c r="H90" s="116"/>
      <c r="I90" s="74">
        <f t="shared" ref="I90:J90" si="56">I96+I102+I108</f>
        <v>0</v>
      </c>
      <c r="J90" s="74">
        <f t="shared" si="56"/>
        <v>0</v>
      </c>
      <c r="K90" s="113"/>
      <c r="L90" s="113"/>
      <c r="M90" s="113"/>
      <c r="N90" s="113"/>
      <c r="O90" s="113"/>
      <c r="P90" s="113"/>
      <c r="Q90" s="296"/>
      <c r="R90" s="63"/>
    </row>
    <row r="91" spans="1:18" hidden="1" x14ac:dyDescent="0.25">
      <c r="A91" s="301"/>
      <c r="B91" s="284"/>
      <c r="C91" s="285"/>
      <c r="D91" s="73" t="s">
        <v>12</v>
      </c>
      <c r="E91" s="116">
        <f t="shared" si="55"/>
        <v>0</v>
      </c>
      <c r="F91" s="116">
        <f t="shared" ref="F91:J91" si="57">F97+F103+F109</f>
        <v>0</v>
      </c>
      <c r="G91" s="116"/>
      <c r="H91" s="116"/>
      <c r="I91" s="74">
        <f t="shared" si="57"/>
        <v>0</v>
      </c>
      <c r="J91" s="74">
        <f t="shared" si="57"/>
        <v>0</v>
      </c>
      <c r="K91" s="113"/>
      <c r="L91" s="113"/>
      <c r="M91" s="113"/>
      <c r="N91" s="113"/>
      <c r="O91" s="113"/>
      <c r="P91" s="113"/>
      <c r="Q91" s="296"/>
      <c r="R91" s="63"/>
    </row>
    <row r="92" spans="1:18" hidden="1" x14ac:dyDescent="0.25">
      <c r="A92" s="301"/>
      <c r="B92" s="284"/>
      <c r="C92" s="285"/>
      <c r="D92" s="73" t="s">
        <v>13</v>
      </c>
      <c r="E92" s="116">
        <f t="shared" si="55"/>
        <v>0</v>
      </c>
      <c r="F92" s="116">
        <f t="shared" ref="F92:J92" si="58">F98+F104+F110</f>
        <v>0</v>
      </c>
      <c r="G92" s="116"/>
      <c r="H92" s="116"/>
      <c r="I92" s="74">
        <f t="shared" si="58"/>
        <v>0</v>
      </c>
      <c r="J92" s="74">
        <f t="shared" si="58"/>
        <v>0</v>
      </c>
      <c r="K92" s="113"/>
      <c r="L92" s="113"/>
      <c r="M92" s="113"/>
      <c r="N92" s="113"/>
      <c r="O92" s="113"/>
      <c r="P92" s="113"/>
      <c r="Q92" s="296"/>
      <c r="R92" s="63"/>
    </row>
    <row r="93" spans="1:18" hidden="1" x14ac:dyDescent="0.25">
      <c r="A93" s="301"/>
      <c r="B93" s="284"/>
      <c r="C93" s="285"/>
      <c r="D93" s="73" t="s">
        <v>14</v>
      </c>
      <c r="E93" s="116">
        <f t="shared" si="55"/>
        <v>0</v>
      </c>
      <c r="F93" s="116">
        <f t="shared" ref="F93:J93" si="59">F99+F105+F111</f>
        <v>0</v>
      </c>
      <c r="G93" s="116"/>
      <c r="H93" s="116"/>
      <c r="I93" s="74">
        <f t="shared" si="59"/>
        <v>0</v>
      </c>
      <c r="J93" s="74">
        <f t="shared" si="59"/>
        <v>0</v>
      </c>
      <c r="K93" s="113"/>
      <c r="L93" s="113"/>
      <c r="M93" s="113"/>
      <c r="N93" s="113"/>
      <c r="O93" s="113"/>
      <c r="P93" s="113"/>
      <c r="Q93" s="297"/>
      <c r="R93" s="63"/>
    </row>
    <row r="94" spans="1:18" hidden="1" x14ac:dyDescent="0.25">
      <c r="A94" s="292"/>
      <c r="B94" s="289"/>
      <c r="C94" s="292"/>
      <c r="D94" s="73" t="s">
        <v>9</v>
      </c>
      <c r="E94" s="116">
        <f>SUM(E95:E99)</f>
        <v>0</v>
      </c>
      <c r="F94" s="116">
        <f t="shared" ref="F94:J94" si="60">SUM(F95:F99)</f>
        <v>0</v>
      </c>
      <c r="G94" s="116"/>
      <c r="H94" s="116"/>
      <c r="I94" s="74">
        <f t="shared" si="60"/>
        <v>0</v>
      </c>
      <c r="J94" s="74">
        <f t="shared" si="60"/>
        <v>0</v>
      </c>
      <c r="K94" s="73"/>
      <c r="L94" s="73"/>
      <c r="M94" s="73"/>
      <c r="N94" s="73"/>
      <c r="O94" s="73"/>
      <c r="P94" s="73"/>
      <c r="Q94" s="295" t="s">
        <v>70</v>
      </c>
      <c r="R94" s="63"/>
    </row>
    <row r="95" spans="1:18" hidden="1" x14ac:dyDescent="0.25">
      <c r="A95" s="293"/>
      <c r="B95" s="290"/>
      <c r="C95" s="293"/>
      <c r="D95" s="286" t="s">
        <v>10</v>
      </c>
      <c r="E95" s="287"/>
      <c r="F95" s="287"/>
      <c r="G95" s="287"/>
      <c r="H95" s="287"/>
      <c r="I95" s="287"/>
      <c r="J95" s="288"/>
      <c r="K95" s="73"/>
      <c r="L95" s="73"/>
      <c r="M95" s="73"/>
      <c r="N95" s="73"/>
      <c r="O95" s="73"/>
      <c r="P95" s="73"/>
      <c r="Q95" s="296"/>
      <c r="R95" s="63"/>
    </row>
    <row r="96" spans="1:18" hidden="1" x14ac:dyDescent="0.25">
      <c r="A96" s="293"/>
      <c r="B96" s="290"/>
      <c r="C96" s="293"/>
      <c r="D96" s="73" t="s">
        <v>11</v>
      </c>
      <c r="E96" s="116">
        <f>F96+I96+J96</f>
        <v>0</v>
      </c>
      <c r="F96" s="116"/>
      <c r="G96" s="116"/>
      <c r="H96" s="116"/>
      <c r="I96" s="74"/>
      <c r="J96" s="74"/>
      <c r="K96" s="73"/>
      <c r="L96" s="73"/>
      <c r="M96" s="73"/>
      <c r="N96" s="73"/>
      <c r="O96" s="73"/>
      <c r="P96" s="73"/>
      <c r="Q96" s="296"/>
      <c r="R96" s="63"/>
    </row>
    <row r="97" spans="1:18" hidden="1" x14ac:dyDescent="0.25">
      <c r="A97" s="293"/>
      <c r="B97" s="290"/>
      <c r="C97" s="293"/>
      <c r="D97" s="73" t="s">
        <v>12</v>
      </c>
      <c r="E97" s="116">
        <f t="shared" ref="E97:E99" si="61">F97+I97+J97</f>
        <v>0</v>
      </c>
      <c r="F97" s="116"/>
      <c r="G97" s="116"/>
      <c r="H97" s="116"/>
      <c r="I97" s="74"/>
      <c r="J97" s="74"/>
      <c r="K97" s="73"/>
      <c r="L97" s="73"/>
      <c r="M97" s="73"/>
      <c r="N97" s="73"/>
      <c r="O97" s="73"/>
      <c r="P97" s="73"/>
      <c r="Q97" s="296"/>
      <c r="R97" s="63"/>
    </row>
    <row r="98" spans="1:18" hidden="1" x14ac:dyDescent="0.25">
      <c r="A98" s="293"/>
      <c r="B98" s="290"/>
      <c r="C98" s="293"/>
      <c r="D98" s="73" t="s">
        <v>13</v>
      </c>
      <c r="E98" s="116">
        <f t="shared" si="61"/>
        <v>0</v>
      </c>
      <c r="F98" s="116"/>
      <c r="G98" s="116"/>
      <c r="H98" s="116"/>
      <c r="I98" s="74"/>
      <c r="J98" s="74"/>
      <c r="K98" s="73"/>
      <c r="L98" s="73"/>
      <c r="M98" s="73"/>
      <c r="N98" s="73"/>
      <c r="O98" s="73"/>
      <c r="P98" s="73"/>
      <c r="Q98" s="296"/>
      <c r="R98" s="63"/>
    </row>
    <row r="99" spans="1:18" hidden="1" x14ac:dyDescent="0.25">
      <c r="A99" s="294"/>
      <c r="B99" s="291"/>
      <c r="C99" s="294"/>
      <c r="D99" s="73" t="s">
        <v>14</v>
      </c>
      <c r="E99" s="116">
        <f t="shared" si="61"/>
        <v>0</v>
      </c>
      <c r="F99" s="116"/>
      <c r="G99" s="116"/>
      <c r="H99" s="116"/>
      <c r="I99" s="74"/>
      <c r="J99" s="74"/>
      <c r="K99" s="73"/>
      <c r="L99" s="73"/>
      <c r="M99" s="73"/>
      <c r="N99" s="73"/>
      <c r="O99" s="73"/>
      <c r="P99" s="73"/>
      <c r="Q99" s="297"/>
      <c r="R99" s="63"/>
    </row>
    <row r="100" spans="1:18" hidden="1" x14ac:dyDescent="0.25">
      <c r="A100" s="292"/>
      <c r="B100" s="289"/>
      <c r="C100" s="292"/>
      <c r="D100" s="73" t="s">
        <v>9</v>
      </c>
      <c r="E100" s="116">
        <f>SUM(E101:E105)</f>
        <v>0</v>
      </c>
      <c r="F100" s="116">
        <f t="shared" ref="F100:J100" si="62">SUM(F101:F105)</f>
        <v>0</v>
      </c>
      <c r="G100" s="116"/>
      <c r="H100" s="116"/>
      <c r="I100" s="74">
        <f t="shared" si="62"/>
        <v>0</v>
      </c>
      <c r="J100" s="74">
        <f t="shared" si="62"/>
        <v>0</v>
      </c>
      <c r="K100" s="73"/>
      <c r="L100" s="73"/>
      <c r="M100" s="73"/>
      <c r="N100" s="73"/>
      <c r="O100" s="73"/>
      <c r="P100" s="73"/>
      <c r="Q100" s="295" t="s">
        <v>71</v>
      </c>
      <c r="R100" s="63"/>
    </row>
    <row r="101" spans="1:18" hidden="1" x14ac:dyDescent="0.25">
      <c r="A101" s="293"/>
      <c r="B101" s="290"/>
      <c r="C101" s="293"/>
      <c r="D101" s="286" t="s">
        <v>10</v>
      </c>
      <c r="E101" s="287"/>
      <c r="F101" s="287"/>
      <c r="G101" s="287"/>
      <c r="H101" s="287"/>
      <c r="I101" s="287"/>
      <c r="J101" s="288"/>
      <c r="K101" s="73"/>
      <c r="L101" s="73"/>
      <c r="M101" s="73"/>
      <c r="N101" s="73"/>
      <c r="O101" s="73"/>
      <c r="P101" s="73"/>
      <c r="Q101" s="296"/>
      <c r="R101" s="63"/>
    </row>
    <row r="102" spans="1:18" hidden="1" x14ac:dyDescent="0.25">
      <c r="A102" s="293"/>
      <c r="B102" s="290"/>
      <c r="C102" s="293"/>
      <c r="D102" s="73" t="s">
        <v>11</v>
      </c>
      <c r="E102" s="116">
        <f>F102+I102+J102</f>
        <v>0</v>
      </c>
      <c r="F102" s="116"/>
      <c r="G102" s="116"/>
      <c r="H102" s="116"/>
      <c r="I102" s="74"/>
      <c r="J102" s="74"/>
      <c r="K102" s="73"/>
      <c r="L102" s="73"/>
      <c r="M102" s="73"/>
      <c r="N102" s="73"/>
      <c r="O102" s="73"/>
      <c r="P102" s="73"/>
      <c r="Q102" s="296"/>
      <c r="R102" s="63"/>
    </row>
    <row r="103" spans="1:18" hidden="1" x14ac:dyDescent="0.25">
      <c r="A103" s="293"/>
      <c r="B103" s="290"/>
      <c r="C103" s="293"/>
      <c r="D103" s="73" t="s">
        <v>12</v>
      </c>
      <c r="E103" s="116">
        <f t="shared" ref="E103:E105" si="63">F103+I103+J103</f>
        <v>0</v>
      </c>
      <c r="F103" s="116"/>
      <c r="G103" s="116"/>
      <c r="H103" s="116"/>
      <c r="I103" s="74"/>
      <c r="J103" s="74"/>
      <c r="K103" s="73"/>
      <c r="L103" s="73"/>
      <c r="M103" s="73"/>
      <c r="N103" s="73"/>
      <c r="O103" s="73"/>
      <c r="P103" s="73"/>
      <c r="Q103" s="296"/>
      <c r="R103" s="63"/>
    </row>
    <row r="104" spans="1:18" hidden="1" x14ac:dyDescent="0.25">
      <c r="A104" s="293"/>
      <c r="B104" s="290"/>
      <c r="C104" s="293"/>
      <c r="D104" s="73" t="s">
        <v>13</v>
      </c>
      <c r="E104" s="116">
        <f t="shared" si="63"/>
        <v>0</v>
      </c>
      <c r="F104" s="116"/>
      <c r="G104" s="116"/>
      <c r="H104" s="116"/>
      <c r="I104" s="74"/>
      <c r="J104" s="74"/>
      <c r="K104" s="73"/>
      <c r="L104" s="73"/>
      <c r="M104" s="73"/>
      <c r="N104" s="73"/>
      <c r="O104" s="73"/>
      <c r="P104" s="73"/>
      <c r="Q104" s="296"/>
      <c r="R104" s="63"/>
    </row>
    <row r="105" spans="1:18" hidden="1" x14ac:dyDescent="0.25">
      <c r="A105" s="294"/>
      <c r="B105" s="291"/>
      <c r="C105" s="294"/>
      <c r="D105" s="73" t="s">
        <v>14</v>
      </c>
      <c r="E105" s="116">
        <f t="shared" si="63"/>
        <v>0</v>
      </c>
      <c r="F105" s="116"/>
      <c r="G105" s="116"/>
      <c r="H105" s="116"/>
      <c r="I105" s="74"/>
      <c r="J105" s="74"/>
      <c r="K105" s="73"/>
      <c r="L105" s="73"/>
      <c r="M105" s="73"/>
      <c r="N105" s="73"/>
      <c r="O105" s="73"/>
      <c r="P105" s="73"/>
      <c r="Q105" s="297"/>
      <c r="R105" s="63"/>
    </row>
    <row r="106" spans="1:18" hidden="1" x14ac:dyDescent="0.25">
      <c r="A106" s="292"/>
      <c r="B106" s="289"/>
      <c r="C106" s="292"/>
      <c r="D106" s="73" t="s">
        <v>9</v>
      </c>
      <c r="E106" s="116">
        <f>SUM(E107:E111)</f>
        <v>0</v>
      </c>
      <c r="F106" s="116">
        <f t="shared" ref="F106:J106" si="64">SUM(F107:F111)</f>
        <v>0</v>
      </c>
      <c r="G106" s="116"/>
      <c r="H106" s="116"/>
      <c r="I106" s="74">
        <f t="shared" si="64"/>
        <v>0</v>
      </c>
      <c r="J106" s="74">
        <f t="shared" si="64"/>
        <v>0</v>
      </c>
      <c r="K106" s="73"/>
      <c r="L106" s="73"/>
      <c r="M106" s="73"/>
      <c r="N106" s="73"/>
      <c r="O106" s="73"/>
      <c r="P106" s="73"/>
      <c r="Q106" s="295" t="s">
        <v>61</v>
      </c>
      <c r="R106" s="63"/>
    </row>
    <row r="107" spans="1:18" hidden="1" x14ac:dyDescent="0.25">
      <c r="A107" s="293"/>
      <c r="B107" s="290"/>
      <c r="C107" s="293"/>
      <c r="D107" s="286" t="s">
        <v>10</v>
      </c>
      <c r="E107" s="287"/>
      <c r="F107" s="287"/>
      <c r="G107" s="287"/>
      <c r="H107" s="287"/>
      <c r="I107" s="287"/>
      <c r="J107" s="288"/>
      <c r="K107" s="73"/>
      <c r="L107" s="73"/>
      <c r="M107" s="73"/>
      <c r="N107" s="73"/>
      <c r="O107" s="73"/>
      <c r="P107" s="73"/>
      <c r="Q107" s="296"/>
      <c r="R107" s="63"/>
    </row>
    <row r="108" spans="1:18" hidden="1" x14ac:dyDescent="0.25">
      <c r="A108" s="293"/>
      <c r="B108" s="290"/>
      <c r="C108" s="293"/>
      <c r="D108" s="73" t="s">
        <v>11</v>
      </c>
      <c r="E108" s="116">
        <f>F108+I108+J108</f>
        <v>0</v>
      </c>
      <c r="F108" s="116"/>
      <c r="G108" s="116"/>
      <c r="H108" s="116"/>
      <c r="I108" s="74"/>
      <c r="J108" s="74"/>
      <c r="K108" s="73"/>
      <c r="L108" s="73"/>
      <c r="M108" s="73"/>
      <c r="N108" s="73"/>
      <c r="O108" s="73"/>
      <c r="P108" s="73"/>
      <c r="Q108" s="296"/>
      <c r="R108" s="63"/>
    </row>
    <row r="109" spans="1:18" hidden="1" x14ac:dyDescent="0.25">
      <c r="A109" s="293"/>
      <c r="B109" s="290"/>
      <c r="C109" s="293"/>
      <c r="D109" s="73" t="s">
        <v>12</v>
      </c>
      <c r="E109" s="116">
        <f t="shared" ref="E109:E111" si="65">F109+I109+J109</f>
        <v>0</v>
      </c>
      <c r="F109" s="116"/>
      <c r="G109" s="116"/>
      <c r="H109" s="116"/>
      <c r="I109" s="74"/>
      <c r="J109" s="74"/>
      <c r="K109" s="73"/>
      <c r="L109" s="73"/>
      <c r="M109" s="73"/>
      <c r="N109" s="73"/>
      <c r="O109" s="73"/>
      <c r="P109" s="73"/>
      <c r="Q109" s="296"/>
      <c r="R109" s="63"/>
    </row>
    <row r="110" spans="1:18" hidden="1" x14ac:dyDescent="0.25">
      <c r="A110" s="293"/>
      <c r="B110" s="290"/>
      <c r="C110" s="293"/>
      <c r="D110" s="73" t="s">
        <v>13</v>
      </c>
      <c r="E110" s="116">
        <f t="shared" si="65"/>
        <v>0</v>
      </c>
      <c r="F110" s="116"/>
      <c r="G110" s="116"/>
      <c r="H110" s="116"/>
      <c r="I110" s="74"/>
      <c r="J110" s="74"/>
      <c r="K110" s="73"/>
      <c r="L110" s="73"/>
      <c r="M110" s="73"/>
      <c r="N110" s="73"/>
      <c r="O110" s="73"/>
      <c r="P110" s="73"/>
      <c r="Q110" s="296"/>
      <c r="R110" s="63"/>
    </row>
    <row r="111" spans="1:18" hidden="1" x14ac:dyDescent="0.25">
      <c r="A111" s="294"/>
      <c r="B111" s="291"/>
      <c r="C111" s="294"/>
      <c r="D111" s="73" t="s">
        <v>14</v>
      </c>
      <c r="E111" s="116">
        <f t="shared" si="65"/>
        <v>0</v>
      </c>
      <c r="F111" s="116"/>
      <c r="G111" s="116"/>
      <c r="H111" s="116"/>
      <c r="I111" s="74"/>
      <c r="J111" s="74"/>
      <c r="K111" s="73"/>
      <c r="L111" s="73"/>
      <c r="M111" s="73"/>
      <c r="N111" s="73"/>
      <c r="O111" s="73"/>
      <c r="P111" s="73"/>
      <c r="Q111" s="297"/>
      <c r="R111" s="63"/>
    </row>
    <row r="112" spans="1:18" hidden="1" x14ac:dyDescent="0.25">
      <c r="A112" s="285"/>
      <c r="B112" s="284" t="s">
        <v>23</v>
      </c>
      <c r="C112" s="285"/>
      <c r="D112" s="73" t="s">
        <v>9</v>
      </c>
      <c r="E112" s="116">
        <f t="shared" ref="E112" si="66">SUM(E113:E117)</f>
        <v>0</v>
      </c>
      <c r="F112" s="116">
        <f t="shared" ref="F112" si="67">SUM(F113:F117)</f>
        <v>0</v>
      </c>
      <c r="G112" s="116"/>
      <c r="H112" s="116"/>
      <c r="I112" s="74">
        <f t="shared" ref="I112" si="68">SUM(I113:I117)</f>
        <v>0</v>
      </c>
      <c r="J112" s="74">
        <f t="shared" ref="J112" si="69">SUM(J113:J117)</f>
        <v>0</v>
      </c>
      <c r="K112" s="73"/>
      <c r="L112" s="73"/>
      <c r="M112" s="73"/>
      <c r="N112" s="73"/>
      <c r="O112" s="73"/>
      <c r="P112" s="73"/>
      <c r="Q112" s="298"/>
      <c r="R112" s="63"/>
    </row>
    <row r="113" spans="1:18" hidden="1" x14ac:dyDescent="0.25">
      <c r="A113" s="285"/>
      <c r="B113" s="284"/>
      <c r="C113" s="285"/>
      <c r="D113" s="286" t="s">
        <v>10</v>
      </c>
      <c r="E113" s="287"/>
      <c r="F113" s="287"/>
      <c r="G113" s="287"/>
      <c r="H113" s="287"/>
      <c r="I113" s="287"/>
      <c r="J113" s="288"/>
      <c r="K113" s="73"/>
      <c r="L113" s="73"/>
      <c r="M113" s="73"/>
      <c r="N113" s="73"/>
      <c r="O113" s="73"/>
      <c r="P113" s="73"/>
      <c r="Q113" s="299"/>
      <c r="R113" s="63"/>
    </row>
    <row r="114" spans="1:18" hidden="1" x14ac:dyDescent="0.25">
      <c r="A114" s="285"/>
      <c r="B114" s="284"/>
      <c r="C114" s="285"/>
      <c r="D114" s="73" t="s">
        <v>11</v>
      </c>
      <c r="E114" s="116">
        <f t="shared" ref="E114:E117" si="70">F114+I114+J114</f>
        <v>0</v>
      </c>
      <c r="F114" s="116">
        <f t="shared" ref="F114:J117" si="71">F90</f>
        <v>0</v>
      </c>
      <c r="G114" s="116"/>
      <c r="H114" s="116"/>
      <c r="I114" s="74">
        <f t="shared" si="71"/>
        <v>0</v>
      </c>
      <c r="J114" s="74">
        <f t="shared" si="71"/>
        <v>0</v>
      </c>
      <c r="K114" s="73"/>
      <c r="L114" s="73"/>
      <c r="M114" s="73"/>
      <c r="N114" s="73"/>
      <c r="O114" s="73"/>
      <c r="P114" s="73"/>
      <c r="Q114" s="299"/>
      <c r="R114" s="63"/>
    </row>
    <row r="115" spans="1:18" hidden="1" x14ac:dyDescent="0.25">
      <c r="A115" s="285"/>
      <c r="B115" s="284"/>
      <c r="C115" s="285"/>
      <c r="D115" s="73" t="s">
        <v>12</v>
      </c>
      <c r="E115" s="116">
        <f t="shared" si="70"/>
        <v>0</v>
      </c>
      <c r="F115" s="116">
        <f t="shared" si="71"/>
        <v>0</v>
      </c>
      <c r="G115" s="116"/>
      <c r="H115" s="116"/>
      <c r="I115" s="74">
        <f t="shared" si="71"/>
        <v>0</v>
      </c>
      <c r="J115" s="74">
        <f t="shared" si="71"/>
        <v>0</v>
      </c>
      <c r="K115" s="73"/>
      <c r="L115" s="73"/>
      <c r="M115" s="73"/>
      <c r="N115" s="73"/>
      <c r="O115" s="73"/>
      <c r="P115" s="73"/>
      <c r="Q115" s="299"/>
      <c r="R115" s="63"/>
    </row>
    <row r="116" spans="1:18" hidden="1" x14ac:dyDescent="0.25">
      <c r="A116" s="285"/>
      <c r="B116" s="284"/>
      <c r="C116" s="285"/>
      <c r="D116" s="73" t="s">
        <v>13</v>
      </c>
      <c r="E116" s="116">
        <f t="shared" si="70"/>
        <v>0</v>
      </c>
      <c r="F116" s="116">
        <f t="shared" si="71"/>
        <v>0</v>
      </c>
      <c r="G116" s="116"/>
      <c r="H116" s="116"/>
      <c r="I116" s="74">
        <f t="shared" si="71"/>
        <v>0</v>
      </c>
      <c r="J116" s="74">
        <f t="shared" si="71"/>
        <v>0</v>
      </c>
      <c r="K116" s="73"/>
      <c r="L116" s="73"/>
      <c r="M116" s="73"/>
      <c r="N116" s="73"/>
      <c r="O116" s="73"/>
      <c r="P116" s="73"/>
      <c r="Q116" s="299"/>
      <c r="R116" s="63"/>
    </row>
    <row r="117" spans="1:18" hidden="1" x14ac:dyDescent="0.25">
      <c r="A117" s="285"/>
      <c r="B117" s="284"/>
      <c r="C117" s="285"/>
      <c r="D117" s="73" t="s">
        <v>14</v>
      </c>
      <c r="E117" s="116">
        <f t="shared" si="70"/>
        <v>0</v>
      </c>
      <c r="F117" s="116">
        <f t="shared" si="71"/>
        <v>0</v>
      </c>
      <c r="G117" s="116"/>
      <c r="H117" s="116"/>
      <c r="I117" s="74">
        <f t="shared" si="71"/>
        <v>0</v>
      </c>
      <c r="J117" s="74">
        <f t="shared" si="71"/>
        <v>0</v>
      </c>
      <c r="K117" s="73"/>
      <c r="L117" s="73"/>
      <c r="M117" s="73"/>
      <c r="N117" s="73"/>
      <c r="O117" s="73"/>
      <c r="P117" s="73"/>
      <c r="Q117" s="300"/>
      <c r="R117" s="63"/>
    </row>
    <row r="118" spans="1:18" ht="10.9" customHeight="1" x14ac:dyDescent="0.25">
      <c r="A118" s="75"/>
      <c r="B118" s="76" t="s">
        <v>17</v>
      </c>
      <c r="C118" s="76"/>
      <c r="D118" s="76"/>
      <c r="E118" s="76"/>
      <c r="F118" s="76"/>
      <c r="G118" s="76"/>
      <c r="H118" s="76"/>
      <c r="I118" s="77"/>
      <c r="J118" s="77"/>
      <c r="K118" s="76"/>
      <c r="L118" s="76"/>
      <c r="M118" s="76"/>
      <c r="N118" s="76"/>
      <c r="O118" s="76"/>
      <c r="P118" s="76"/>
      <c r="Q118" s="76"/>
      <c r="R118" s="63"/>
    </row>
    <row r="119" spans="1:18" ht="12" customHeight="1" x14ac:dyDescent="0.25">
      <c r="A119" s="75"/>
      <c r="B119" s="281" t="s">
        <v>18</v>
      </c>
      <c r="C119" s="281"/>
      <c r="D119" s="281"/>
      <c r="E119" s="281"/>
      <c r="F119" s="281"/>
      <c r="G119" s="281"/>
      <c r="H119" s="281"/>
      <c r="I119" s="281"/>
      <c r="J119" s="281"/>
      <c r="K119" s="281"/>
      <c r="L119" s="281"/>
      <c r="M119" s="281"/>
      <c r="N119" s="281"/>
      <c r="O119" s="281"/>
      <c r="P119" s="281"/>
      <c r="Q119" s="281"/>
      <c r="R119" s="63"/>
    </row>
    <row r="120" spans="1:18" x14ac:dyDescent="0.25">
      <c r="A120" s="115"/>
      <c r="B120" s="282" t="s">
        <v>19</v>
      </c>
      <c r="C120" s="282"/>
      <c r="D120" s="282"/>
      <c r="E120" s="282"/>
      <c r="F120" s="282"/>
      <c r="G120" s="282"/>
      <c r="H120" s="282"/>
      <c r="I120" s="282"/>
      <c r="J120" s="282"/>
      <c r="K120" s="282"/>
      <c r="L120" s="282"/>
      <c r="M120" s="282"/>
      <c r="N120" s="282"/>
      <c r="O120" s="282"/>
      <c r="P120" s="282"/>
      <c r="Q120" s="282"/>
      <c r="R120" s="63"/>
    </row>
    <row r="121" spans="1:18" ht="7.5" customHeight="1" x14ac:dyDescent="0.25">
      <c r="A121" s="115"/>
      <c r="B121" s="78"/>
      <c r="C121" s="78"/>
      <c r="D121" s="78"/>
      <c r="E121" s="78"/>
      <c r="F121" s="280"/>
      <c r="G121" s="280"/>
      <c r="H121" s="280"/>
      <c r="I121" s="280"/>
      <c r="J121" s="79"/>
      <c r="K121" s="78"/>
      <c r="L121" s="78"/>
      <c r="M121" s="78"/>
      <c r="N121" s="78"/>
      <c r="O121" s="78"/>
      <c r="P121" s="78"/>
      <c r="Q121" s="78"/>
      <c r="R121" s="63"/>
    </row>
    <row r="122" spans="1:18" x14ac:dyDescent="0.25">
      <c r="A122" s="114"/>
      <c r="B122" s="63"/>
      <c r="C122" s="63"/>
      <c r="D122" s="63"/>
      <c r="E122" s="63"/>
      <c r="F122" s="63"/>
      <c r="G122" s="63"/>
      <c r="H122" s="63"/>
      <c r="I122" s="65"/>
      <c r="J122" s="65"/>
      <c r="K122" s="63"/>
      <c r="L122" s="63"/>
      <c r="M122" s="63"/>
      <c r="N122" s="63"/>
      <c r="O122" s="63"/>
      <c r="P122" s="63"/>
      <c r="Q122" s="63"/>
      <c r="R122" s="63"/>
    </row>
    <row r="123" spans="1:18" x14ac:dyDescent="0.25">
      <c r="A123" s="114"/>
      <c r="B123" s="63"/>
      <c r="C123" s="63"/>
      <c r="D123" s="63"/>
      <c r="E123" s="63"/>
      <c r="F123" s="63"/>
      <c r="G123" s="63"/>
      <c r="H123" s="63"/>
      <c r="I123" s="65"/>
      <c r="J123" s="65"/>
      <c r="K123" s="63"/>
      <c r="L123" s="63"/>
      <c r="M123" s="63"/>
      <c r="N123" s="63"/>
      <c r="O123" s="63"/>
      <c r="P123" s="63"/>
      <c r="Q123" s="63"/>
      <c r="R123" s="63"/>
    </row>
    <row r="124" spans="1:18" x14ac:dyDescent="0.25">
      <c r="A124" s="63"/>
      <c r="B124" s="63"/>
      <c r="C124" s="63"/>
      <c r="D124" s="63"/>
      <c r="E124" s="63"/>
      <c r="F124" s="63"/>
      <c r="G124" s="63"/>
      <c r="H124" s="63"/>
      <c r="I124" s="65"/>
      <c r="J124" s="65"/>
      <c r="K124" s="63"/>
      <c r="L124" s="63"/>
      <c r="M124" s="63"/>
      <c r="N124" s="63"/>
      <c r="O124" s="63"/>
      <c r="P124" s="63"/>
      <c r="Q124" s="63"/>
      <c r="R124" s="63"/>
    </row>
    <row r="125" spans="1:18" x14ac:dyDescent="0.25">
      <c r="A125" s="63"/>
      <c r="B125" s="63"/>
      <c r="C125" s="63"/>
      <c r="D125" s="63"/>
      <c r="E125" s="63"/>
      <c r="F125" s="63"/>
      <c r="G125" s="63"/>
      <c r="H125" s="63"/>
      <c r="I125" s="65"/>
      <c r="J125" s="65"/>
      <c r="K125" s="63"/>
      <c r="L125" s="63"/>
      <c r="M125" s="63"/>
      <c r="N125" s="63"/>
      <c r="O125" s="63"/>
      <c r="P125" s="63"/>
      <c r="Q125" s="63"/>
      <c r="R125" s="63"/>
    </row>
    <row r="126" spans="1:18" x14ac:dyDescent="0.25">
      <c r="A126" s="63"/>
      <c r="B126" s="63"/>
      <c r="C126" s="63"/>
      <c r="D126" s="63"/>
      <c r="E126" s="63"/>
      <c r="F126" s="63"/>
      <c r="G126" s="63"/>
      <c r="H126" s="63"/>
      <c r="I126" s="65"/>
      <c r="J126" s="65"/>
      <c r="K126" s="63"/>
      <c r="L126" s="63"/>
      <c r="M126" s="63"/>
      <c r="N126" s="63"/>
      <c r="O126" s="63"/>
      <c r="P126" s="63"/>
      <c r="Q126" s="63"/>
      <c r="R126" s="63"/>
    </row>
  </sheetData>
  <mergeCells count="255">
    <mergeCell ref="B75:B80"/>
    <mergeCell ref="C75:C80"/>
    <mergeCell ref="K75:K76"/>
    <mergeCell ref="L75:L76"/>
    <mergeCell ref="M75:M76"/>
    <mergeCell ref="N75:N76"/>
    <mergeCell ref="O75:O76"/>
    <mergeCell ref="P75:P76"/>
    <mergeCell ref="Q75:Q80"/>
    <mergeCell ref="D76:J76"/>
    <mergeCell ref="K77:K80"/>
    <mergeCell ref="L77:L80"/>
    <mergeCell ref="M77:M80"/>
    <mergeCell ref="N77:N80"/>
    <mergeCell ref="O77:O80"/>
    <mergeCell ref="P77:P80"/>
    <mergeCell ref="B69:B74"/>
    <mergeCell ref="C69:C74"/>
    <mergeCell ref="K69:K70"/>
    <mergeCell ref="L69:L70"/>
    <mergeCell ref="M69:M70"/>
    <mergeCell ref="N69:N70"/>
    <mergeCell ref="O69:O70"/>
    <mergeCell ref="P69:P70"/>
    <mergeCell ref="Q69:Q74"/>
    <mergeCell ref="D70:J70"/>
    <mergeCell ref="K71:K74"/>
    <mergeCell ref="L71:L74"/>
    <mergeCell ref="M71:M74"/>
    <mergeCell ref="N71:N74"/>
    <mergeCell ref="O71:O74"/>
    <mergeCell ref="P71:P74"/>
    <mergeCell ref="B63:B68"/>
    <mergeCell ref="C63:C68"/>
    <mergeCell ref="K63:K64"/>
    <mergeCell ref="L63:L64"/>
    <mergeCell ref="M63:M64"/>
    <mergeCell ref="N63:N64"/>
    <mergeCell ref="O63:O64"/>
    <mergeCell ref="P63:P64"/>
    <mergeCell ref="Q63:Q68"/>
    <mergeCell ref="D64:J64"/>
    <mergeCell ref="K65:K68"/>
    <mergeCell ref="L65:L68"/>
    <mergeCell ref="M65:M68"/>
    <mergeCell ref="N65:N68"/>
    <mergeCell ref="O65:O68"/>
    <mergeCell ref="P65:P68"/>
    <mergeCell ref="K57:K58"/>
    <mergeCell ref="L57:L58"/>
    <mergeCell ref="M57:M58"/>
    <mergeCell ref="N57:N58"/>
    <mergeCell ref="O57:O58"/>
    <mergeCell ref="P57:P58"/>
    <mergeCell ref="Q57:Q62"/>
    <mergeCell ref="D58:J58"/>
    <mergeCell ref="K59:K62"/>
    <mergeCell ref="L59:L62"/>
    <mergeCell ref="M59:M62"/>
    <mergeCell ref="N59:N62"/>
    <mergeCell ref="O59:O62"/>
    <mergeCell ref="P59:P62"/>
    <mergeCell ref="M81:M86"/>
    <mergeCell ref="N81:N86"/>
    <mergeCell ref="M33:M34"/>
    <mergeCell ref="N33:N34"/>
    <mergeCell ref="M35:M38"/>
    <mergeCell ref="N35:N38"/>
    <mergeCell ref="M16:M17"/>
    <mergeCell ref="N16:N17"/>
    <mergeCell ref="M18:M19"/>
    <mergeCell ref="N18:N19"/>
    <mergeCell ref="M22:M23"/>
    <mergeCell ref="N22:N23"/>
    <mergeCell ref="M24:M25"/>
    <mergeCell ref="N24:N25"/>
    <mergeCell ref="M28:M29"/>
    <mergeCell ref="N28:N29"/>
    <mergeCell ref="M30:M31"/>
    <mergeCell ref="N30:N31"/>
    <mergeCell ref="I2:Q2"/>
    <mergeCell ref="F1:Q1"/>
    <mergeCell ref="K47:K50"/>
    <mergeCell ref="L45:L46"/>
    <mergeCell ref="L47:L50"/>
    <mergeCell ref="O45:O46"/>
    <mergeCell ref="O47:O50"/>
    <mergeCell ref="P45:P46"/>
    <mergeCell ref="P47:P50"/>
    <mergeCell ref="K24:K25"/>
    <mergeCell ref="L24:L25"/>
    <mergeCell ref="O24:O25"/>
    <mergeCell ref="P24:P25"/>
    <mergeCell ref="K28:K29"/>
    <mergeCell ref="K30:K31"/>
    <mergeCell ref="L28:L29"/>
    <mergeCell ref="O28:O29"/>
    <mergeCell ref="P28:P29"/>
    <mergeCell ref="L30:L31"/>
    <mergeCell ref="O30:O31"/>
    <mergeCell ref="P30:P31"/>
    <mergeCell ref="L16:L17"/>
    <mergeCell ref="O16:O17"/>
    <mergeCell ref="P16:P17"/>
    <mergeCell ref="L18:L19"/>
    <mergeCell ref="O22:O23"/>
    <mergeCell ref="P22:P23"/>
    <mergeCell ref="K10:K11"/>
    <mergeCell ref="L10:L11"/>
    <mergeCell ref="O10:O11"/>
    <mergeCell ref="P10:P11"/>
    <mergeCell ref="K12:K13"/>
    <mergeCell ref="L12:L13"/>
    <mergeCell ref="O12:O13"/>
    <mergeCell ref="P12:P13"/>
    <mergeCell ref="K16:K17"/>
    <mergeCell ref="K18:K19"/>
    <mergeCell ref="M10:M11"/>
    <mergeCell ref="N10:N11"/>
    <mergeCell ref="M12:M13"/>
    <mergeCell ref="N12:N13"/>
    <mergeCell ref="Q81:Q86"/>
    <mergeCell ref="Q33:Q38"/>
    <mergeCell ref="K81:K86"/>
    <mergeCell ref="L81:L86"/>
    <mergeCell ref="O81:O86"/>
    <mergeCell ref="P81:P86"/>
    <mergeCell ref="K33:K34"/>
    <mergeCell ref="K35:K38"/>
    <mergeCell ref="L33:L34"/>
    <mergeCell ref="O33:O34"/>
    <mergeCell ref="P33:P34"/>
    <mergeCell ref="L35:L38"/>
    <mergeCell ref="O35:O38"/>
    <mergeCell ref="P35:P38"/>
    <mergeCell ref="K39:K40"/>
    <mergeCell ref="K41:K44"/>
    <mergeCell ref="Q51:Q56"/>
    <mergeCell ref="Q39:Q44"/>
    <mergeCell ref="K51:K52"/>
    <mergeCell ref="L51:L52"/>
    <mergeCell ref="O51:O52"/>
    <mergeCell ref="P51:P52"/>
    <mergeCell ref="K53:K56"/>
    <mergeCell ref="L53:L56"/>
    <mergeCell ref="D82:J82"/>
    <mergeCell ref="D89:J89"/>
    <mergeCell ref="B9:B14"/>
    <mergeCell ref="C9:C14"/>
    <mergeCell ref="B81:B86"/>
    <mergeCell ref="C81:C86"/>
    <mergeCell ref="B15:B20"/>
    <mergeCell ref="C15:C20"/>
    <mergeCell ref="D16:J16"/>
    <mergeCell ref="B21:B26"/>
    <mergeCell ref="C21:C26"/>
    <mergeCell ref="D22:J22"/>
    <mergeCell ref="B27:B32"/>
    <mergeCell ref="C27:C32"/>
    <mergeCell ref="D28:J28"/>
    <mergeCell ref="D34:J34"/>
    <mergeCell ref="B51:B56"/>
    <mergeCell ref="C51:C56"/>
    <mergeCell ref="D52:J52"/>
    <mergeCell ref="B39:B44"/>
    <mergeCell ref="C39:C44"/>
    <mergeCell ref="D40:J40"/>
    <mergeCell ref="B57:B62"/>
    <mergeCell ref="C57:C62"/>
    <mergeCell ref="A112:A117"/>
    <mergeCell ref="A9:A14"/>
    <mergeCell ref="A81:A86"/>
    <mergeCell ref="A88:A93"/>
    <mergeCell ref="A15:A20"/>
    <mergeCell ref="A21:A26"/>
    <mergeCell ref="A27:A32"/>
    <mergeCell ref="A94:A99"/>
    <mergeCell ref="A100:A105"/>
    <mergeCell ref="A33:A38"/>
    <mergeCell ref="A45:A50"/>
    <mergeCell ref="A39:A44"/>
    <mergeCell ref="A106:A111"/>
    <mergeCell ref="A51:A56"/>
    <mergeCell ref="A57:A62"/>
    <mergeCell ref="A63:A68"/>
    <mergeCell ref="A69:A74"/>
    <mergeCell ref="A75:A80"/>
    <mergeCell ref="F121:I121"/>
    <mergeCell ref="B119:Q119"/>
    <mergeCell ref="B120:Q120"/>
    <mergeCell ref="B87:Q87"/>
    <mergeCell ref="B88:B93"/>
    <mergeCell ref="C88:C93"/>
    <mergeCell ref="C112:C117"/>
    <mergeCell ref="D113:J113"/>
    <mergeCell ref="B112:B117"/>
    <mergeCell ref="B94:B99"/>
    <mergeCell ref="C94:C99"/>
    <mergeCell ref="D95:J95"/>
    <mergeCell ref="C100:C105"/>
    <mergeCell ref="D101:J101"/>
    <mergeCell ref="B106:B111"/>
    <mergeCell ref="C106:C111"/>
    <mergeCell ref="D107:J107"/>
    <mergeCell ref="B100:B105"/>
    <mergeCell ref="Q88:Q93"/>
    <mergeCell ref="Q94:Q99"/>
    <mergeCell ref="Q100:Q105"/>
    <mergeCell ref="Q106:Q111"/>
    <mergeCell ref="Q112:Q117"/>
    <mergeCell ref="Q5:Q6"/>
    <mergeCell ref="B8:Q8"/>
    <mergeCell ref="A3:Q3"/>
    <mergeCell ref="E5:J5"/>
    <mergeCell ref="A5:A6"/>
    <mergeCell ref="B5:B6"/>
    <mergeCell ref="C5:C6"/>
    <mergeCell ref="B45:B50"/>
    <mergeCell ref="C45:C50"/>
    <mergeCell ref="Q45:Q50"/>
    <mergeCell ref="D46:J46"/>
    <mergeCell ref="D5:D6"/>
    <mergeCell ref="K5:P5"/>
    <mergeCell ref="B33:B38"/>
    <mergeCell ref="C33:C38"/>
    <mergeCell ref="D10:J10"/>
    <mergeCell ref="Q9:Q14"/>
    <mergeCell ref="Q15:Q20"/>
    <mergeCell ref="Q21:Q26"/>
    <mergeCell ref="Q27:Q32"/>
    <mergeCell ref="O18:O19"/>
    <mergeCell ref="P18:P19"/>
    <mergeCell ref="K22:K23"/>
    <mergeCell ref="L22:L23"/>
    <mergeCell ref="O53:O56"/>
    <mergeCell ref="P53:P56"/>
    <mergeCell ref="L39:L40"/>
    <mergeCell ref="L41:L44"/>
    <mergeCell ref="O39:O40"/>
    <mergeCell ref="O41:O44"/>
    <mergeCell ref="P39:P40"/>
    <mergeCell ref="P41:P44"/>
    <mergeCell ref="K45:K46"/>
    <mergeCell ref="M39:M40"/>
    <mergeCell ref="N39:N40"/>
    <mergeCell ref="M41:M44"/>
    <mergeCell ref="N41:N44"/>
    <mergeCell ref="M45:M46"/>
    <mergeCell ref="N45:N46"/>
    <mergeCell ref="M47:M50"/>
    <mergeCell ref="N47:N50"/>
    <mergeCell ref="M51:M52"/>
    <mergeCell ref="N51:N52"/>
    <mergeCell ref="M53:M56"/>
    <mergeCell ref="N53:N56"/>
  </mergeCells>
  <pageMargins left="0.31496062992125984" right="0.31496062992125984" top="0.55118110236220474" bottom="0.15748031496062992" header="0.31496062992125984" footer="0.31496062992125984"/>
  <pageSetup paperSize="9" scale="73" firstPageNumber="28" fitToHeight="2" orientation="landscape" useFirstPageNumber="1" r:id="rId1"/>
  <rowBreaks count="1" manualBreakCount="1">
    <brk id="44" max="1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view="pageBreakPreview" zoomScale="60" zoomScaleNormal="100" workbookViewId="0">
      <selection activeCell="O18" sqref="O18"/>
    </sheetView>
  </sheetViews>
  <sheetFormatPr defaultRowHeight="15" x14ac:dyDescent="0.25"/>
  <cols>
    <col min="1" max="1" width="3" customWidth="1"/>
    <col min="2" max="2" width="43" customWidth="1"/>
    <col min="3" max="8" width="11.5703125" customWidth="1"/>
  </cols>
  <sheetData>
    <row r="1" spans="1:8" x14ac:dyDescent="0.25">
      <c r="D1" s="264" t="s">
        <v>380</v>
      </c>
      <c r="E1" s="264"/>
      <c r="F1" s="264"/>
      <c r="G1" s="264"/>
      <c r="H1" s="264"/>
    </row>
    <row r="2" spans="1:8" ht="22.5" customHeight="1" x14ac:dyDescent="0.25">
      <c r="A2" s="265" t="s">
        <v>389</v>
      </c>
      <c r="B2" s="265"/>
      <c r="C2" s="265"/>
      <c r="D2" s="265"/>
      <c r="E2" s="265"/>
      <c r="F2" s="265"/>
      <c r="G2" s="265"/>
      <c r="H2" s="265"/>
    </row>
    <row r="3" spans="1:8" ht="21.75" customHeight="1" x14ac:dyDescent="0.3">
      <c r="A3" s="5"/>
      <c r="B3" s="311" t="s">
        <v>149</v>
      </c>
      <c r="C3" s="311"/>
      <c r="D3" s="311"/>
      <c r="E3" s="311"/>
      <c r="F3" s="311"/>
      <c r="G3" s="311"/>
      <c r="H3" s="311"/>
    </row>
    <row r="4" spans="1:8" x14ac:dyDescent="0.25">
      <c r="A4" s="217" t="s">
        <v>116</v>
      </c>
      <c r="B4" s="217"/>
      <c r="C4" s="217"/>
      <c r="D4" s="217"/>
      <c r="E4" s="217"/>
      <c r="F4" s="217"/>
      <c r="G4" s="217"/>
      <c r="H4" s="217"/>
    </row>
    <row r="5" spans="1:8" ht="19.5" thickBot="1" x14ac:dyDescent="0.3">
      <c r="A5" s="7"/>
    </row>
    <row r="6" spans="1:8" ht="15.75" customHeight="1" x14ac:dyDescent="0.25">
      <c r="A6" s="218" t="s">
        <v>117</v>
      </c>
      <c r="B6" s="219"/>
      <c r="C6" s="8" t="s">
        <v>118</v>
      </c>
      <c r="D6" s="218" t="s">
        <v>119</v>
      </c>
      <c r="E6" s="224"/>
      <c r="F6" s="224"/>
      <c r="G6" s="224"/>
      <c r="H6" s="219"/>
    </row>
    <row r="7" spans="1:8" ht="16.5" customHeight="1" thickBot="1" x14ac:dyDescent="0.3">
      <c r="A7" s="220"/>
      <c r="B7" s="221"/>
      <c r="C7" s="9" t="s">
        <v>25</v>
      </c>
      <c r="D7" s="222" t="s">
        <v>120</v>
      </c>
      <c r="E7" s="225"/>
      <c r="F7" s="225"/>
      <c r="G7" s="225"/>
      <c r="H7" s="223"/>
    </row>
    <row r="8" spans="1:8" ht="16.5" thickBot="1" x14ac:dyDescent="0.3">
      <c r="A8" s="222"/>
      <c r="B8" s="223"/>
      <c r="C8" s="10"/>
      <c r="D8" s="11" t="s">
        <v>164</v>
      </c>
      <c r="E8" s="48" t="s">
        <v>165</v>
      </c>
      <c r="F8" s="48" t="s">
        <v>166</v>
      </c>
      <c r="G8" s="48" t="s">
        <v>167</v>
      </c>
      <c r="H8" s="48" t="s">
        <v>168</v>
      </c>
    </row>
    <row r="9" spans="1:8" ht="16.5" thickBot="1" x14ac:dyDescent="0.3">
      <c r="A9" s="229">
        <v>1</v>
      </c>
      <c r="B9" s="230"/>
      <c r="C9" s="11">
        <v>2</v>
      </c>
      <c r="D9" s="11">
        <v>3</v>
      </c>
      <c r="E9" s="48">
        <v>4</v>
      </c>
      <c r="F9" s="48">
        <v>5</v>
      </c>
      <c r="G9" s="48">
        <v>6</v>
      </c>
      <c r="H9" s="48">
        <v>7</v>
      </c>
    </row>
    <row r="10" spans="1:8" ht="16.5" thickBot="1" x14ac:dyDescent="0.3">
      <c r="A10" s="231" t="s">
        <v>150</v>
      </c>
      <c r="B10" s="232"/>
      <c r="C10" s="30">
        <f>SUM(D10:H10)</f>
        <v>104248.03293999999</v>
      </c>
      <c r="D10" s="30">
        <f>SUM(D12:D15)</f>
        <v>18958.690000000002</v>
      </c>
      <c r="E10" s="30">
        <f t="shared" ref="E10:F10" si="0">SUM(E12:E15)</f>
        <v>20841.610229999998</v>
      </c>
      <c r="F10" s="30">
        <f t="shared" si="0"/>
        <v>21219.236069999999</v>
      </c>
      <c r="G10" s="31">
        <f t="shared" ref="G10:H10" si="1">SUM(G12:G15)</f>
        <v>21614.248319999999</v>
      </c>
      <c r="H10" s="31">
        <f t="shared" si="1"/>
        <v>21614.248319999999</v>
      </c>
    </row>
    <row r="11" spans="1:8" ht="16.5" thickBot="1" x14ac:dyDescent="0.3">
      <c r="A11" s="12"/>
      <c r="B11" s="13" t="s">
        <v>122</v>
      </c>
      <c r="C11" s="32"/>
      <c r="D11" s="33"/>
      <c r="E11" s="33"/>
      <c r="F11" s="33"/>
      <c r="G11" s="33"/>
      <c r="H11" s="33"/>
    </row>
    <row r="12" spans="1:8" ht="32.25" thickBot="1" x14ac:dyDescent="0.3">
      <c r="A12" s="14"/>
      <c r="B12" s="16" t="s">
        <v>123</v>
      </c>
      <c r="C12" s="32">
        <f t="shared" ref="C12:C16" si="2">SUM(D12:H12)</f>
        <v>17447.539510000002</v>
      </c>
      <c r="D12" s="30">
        <f>'ПОМ ВЦП'!F83</f>
        <v>4069.1945700000006</v>
      </c>
      <c r="E12" s="30">
        <f>'ПОМ ВЦП'!G83</f>
        <v>3472.1612300000002</v>
      </c>
      <c r="F12" s="30">
        <f>'ПОМ ВЦП'!H83</f>
        <v>3299.6530699999998</v>
      </c>
      <c r="G12" s="30">
        <f>'ПОМ ВЦП'!I83</f>
        <v>3303.26532</v>
      </c>
      <c r="H12" s="30">
        <f>'ПОМ ВЦП'!J83</f>
        <v>3303.26532</v>
      </c>
    </row>
    <row r="13" spans="1:8" ht="16.5" thickBot="1" x14ac:dyDescent="0.3">
      <c r="A13" s="14"/>
      <c r="B13" s="13" t="s">
        <v>124</v>
      </c>
      <c r="C13" s="32">
        <f t="shared" si="2"/>
        <v>39161.9</v>
      </c>
      <c r="D13" s="30">
        <f>'ПОМ ВЦП'!F84</f>
        <v>6746.8000000000011</v>
      </c>
      <c r="E13" s="30">
        <f>'ПОМ ВЦП'!G84</f>
        <v>7696.2000000000007</v>
      </c>
      <c r="F13" s="30">
        <f>'ПОМ ВЦП'!H84</f>
        <v>7978.7</v>
      </c>
      <c r="G13" s="30">
        <f>'ПОМ ВЦП'!I84</f>
        <v>8370.1</v>
      </c>
      <c r="H13" s="30">
        <f>'ПОМ ВЦП'!J84</f>
        <v>8370.1</v>
      </c>
    </row>
    <row r="14" spans="1:8" ht="16.5" thickBot="1" x14ac:dyDescent="0.3">
      <c r="A14" s="14"/>
      <c r="B14" s="13" t="s">
        <v>125</v>
      </c>
      <c r="C14" s="32">
        <f t="shared" si="2"/>
        <v>27858.593430000001</v>
      </c>
      <c r="D14" s="30">
        <f>'ПОМ ВЦП'!F85</f>
        <v>2442.6954299999998</v>
      </c>
      <c r="E14" s="30">
        <f>'ПОМ ВЦП'!G85</f>
        <v>6153.2489999999998</v>
      </c>
      <c r="F14" s="30">
        <f>'ПОМ ВЦП'!H85</f>
        <v>6420.8829999999998</v>
      </c>
      <c r="G14" s="30">
        <f>'ПОМ ВЦП'!I85</f>
        <v>6420.8829999999998</v>
      </c>
      <c r="H14" s="30">
        <f>'ПОМ ВЦП'!J85</f>
        <v>6420.8829999999998</v>
      </c>
    </row>
    <row r="15" spans="1:8" ht="16.5" thickBot="1" x14ac:dyDescent="0.3">
      <c r="A15" s="14"/>
      <c r="B15" s="13" t="s">
        <v>126</v>
      </c>
      <c r="C15" s="32">
        <f t="shared" si="2"/>
        <v>19780</v>
      </c>
      <c r="D15" s="30">
        <f>'ПОМ ВЦП'!F86</f>
        <v>5700</v>
      </c>
      <c r="E15" s="30">
        <f>'ПОМ ВЦП'!G86</f>
        <v>3520</v>
      </c>
      <c r="F15" s="30">
        <f>'ПОМ ВЦП'!H86</f>
        <v>3520</v>
      </c>
      <c r="G15" s="30">
        <f>'ПОМ ВЦП'!I86</f>
        <v>3520</v>
      </c>
      <c r="H15" s="30">
        <f>'ПОМ ВЦП'!J86</f>
        <v>3520</v>
      </c>
    </row>
    <row r="16" spans="1:8" ht="16.5" thickBot="1" x14ac:dyDescent="0.3">
      <c r="A16" s="14"/>
      <c r="B16" s="24" t="s">
        <v>127</v>
      </c>
      <c r="C16" s="32">
        <f t="shared" si="2"/>
        <v>104248.03293999999</v>
      </c>
      <c r="D16" s="33">
        <f>D10</f>
        <v>18958.690000000002</v>
      </c>
      <c r="E16" s="33">
        <f t="shared" ref="E16:F16" si="3">E10</f>
        <v>20841.610229999998</v>
      </c>
      <c r="F16" s="33">
        <f t="shared" si="3"/>
        <v>21219.236069999999</v>
      </c>
      <c r="G16" s="33">
        <f t="shared" ref="G16:H16" si="4">G10</f>
        <v>21614.248319999999</v>
      </c>
      <c r="H16" s="33">
        <f t="shared" si="4"/>
        <v>21614.248319999999</v>
      </c>
    </row>
    <row r="17" spans="1:8" ht="32.25" thickBot="1" x14ac:dyDescent="0.3">
      <c r="A17" s="14"/>
      <c r="B17" s="13" t="s">
        <v>151</v>
      </c>
      <c r="C17" s="30">
        <f>SUM(D17:H17)</f>
        <v>24038.274570000001</v>
      </c>
      <c r="D17" s="30">
        <f>SUM(D18:D21)</f>
        <v>4710.2745699999996</v>
      </c>
      <c r="E17" s="30">
        <f t="shared" ref="E17:F17" si="5">SUM(E18:E21)</f>
        <v>4690</v>
      </c>
      <c r="F17" s="30">
        <f t="shared" si="5"/>
        <v>4792</v>
      </c>
      <c r="G17" s="30">
        <f t="shared" ref="G17:H17" si="6">SUM(G18:G21)</f>
        <v>4923</v>
      </c>
      <c r="H17" s="30">
        <f t="shared" si="6"/>
        <v>4923</v>
      </c>
    </row>
    <row r="18" spans="1:8" ht="32.25" thickBot="1" x14ac:dyDescent="0.3">
      <c r="A18" s="25"/>
      <c r="B18" s="23" t="s">
        <v>152</v>
      </c>
      <c r="C18" s="32">
        <f t="shared" ref="C18:C22" si="7">SUM(D18:H18)</f>
        <v>2436.2145700000001</v>
      </c>
      <c r="D18" s="45">
        <f>'ПОМ ВЦП'!F17+'ПОМ ВЦП'!F41</f>
        <v>788.21457000000009</v>
      </c>
      <c r="E18" s="45">
        <f>'ПОМ ВЦП'!G17+'ПОМ ВЦП'!G41</f>
        <v>410</v>
      </c>
      <c r="F18" s="45">
        <f>'ПОМ ВЦП'!H17+'ПОМ ВЦП'!H41</f>
        <v>412</v>
      </c>
      <c r="G18" s="45">
        <f>'ПОМ ВЦП'!I17+'ПОМ ВЦП'!I41</f>
        <v>413</v>
      </c>
      <c r="H18" s="45">
        <f>'ПОМ ВЦП'!J17+'ПОМ ВЦП'!J41</f>
        <v>413</v>
      </c>
    </row>
    <row r="19" spans="1:8" ht="16.5" thickBot="1" x14ac:dyDescent="0.3">
      <c r="A19" s="26"/>
      <c r="B19" s="13" t="s">
        <v>124</v>
      </c>
      <c r="C19" s="32">
        <f t="shared" si="7"/>
        <v>13002.06</v>
      </c>
      <c r="D19" s="45">
        <f>'ПОМ ВЦП'!F18+'ПОМ ВЦП'!F42</f>
        <v>2122.06</v>
      </c>
      <c r="E19" s="45">
        <f>'ПОМ ВЦП'!G18+'ПОМ ВЦП'!G42</f>
        <v>2580</v>
      </c>
      <c r="F19" s="45">
        <f>'ПОМ ВЦП'!H18+'ПОМ ВЦП'!H42</f>
        <v>2680</v>
      </c>
      <c r="G19" s="45">
        <f>'ПОМ ВЦП'!I18+'ПОМ ВЦП'!I42</f>
        <v>2810</v>
      </c>
      <c r="H19" s="45">
        <f>'ПОМ ВЦП'!J18+'ПОМ ВЦП'!J42</f>
        <v>2810</v>
      </c>
    </row>
    <row r="20" spans="1:8" ht="16.5" thickBot="1" x14ac:dyDescent="0.3">
      <c r="A20" s="26"/>
      <c r="B20" s="13" t="s">
        <v>130</v>
      </c>
      <c r="C20" s="32">
        <f t="shared" si="7"/>
        <v>0</v>
      </c>
      <c r="D20" s="45"/>
      <c r="E20" s="45"/>
      <c r="F20" s="45"/>
      <c r="G20" s="45"/>
      <c r="H20" s="45"/>
    </row>
    <row r="21" spans="1:8" ht="16.5" thickBot="1" x14ac:dyDescent="0.3">
      <c r="A21" s="26"/>
      <c r="B21" s="13" t="s">
        <v>131</v>
      </c>
      <c r="C21" s="32">
        <f t="shared" si="7"/>
        <v>8600</v>
      </c>
      <c r="D21" s="45">
        <f>'ПОМ ВЦП'!F20</f>
        <v>1800</v>
      </c>
      <c r="E21" s="45">
        <f>'ПОМ ВЦП'!G20</f>
        <v>1700</v>
      </c>
      <c r="F21" s="45">
        <f>'ПОМ ВЦП'!H20</f>
        <v>1700</v>
      </c>
      <c r="G21" s="45">
        <f>'ПОМ ВЦП'!I20</f>
        <v>1700</v>
      </c>
      <c r="H21" s="45">
        <f>'ПОМ ВЦП'!J20</f>
        <v>1700</v>
      </c>
    </row>
    <row r="22" spans="1:8" ht="16.5" thickBot="1" x14ac:dyDescent="0.3">
      <c r="A22" s="17"/>
      <c r="B22" s="24" t="s">
        <v>132</v>
      </c>
      <c r="C22" s="32">
        <f t="shared" si="7"/>
        <v>0</v>
      </c>
      <c r="D22" s="33"/>
      <c r="E22" s="33"/>
      <c r="F22" s="33"/>
      <c r="G22" s="33"/>
      <c r="H22" s="33"/>
    </row>
    <row r="23" spans="1:8" ht="48" thickBot="1" x14ac:dyDescent="0.3">
      <c r="A23" s="12"/>
      <c r="B23" s="13" t="s">
        <v>153</v>
      </c>
      <c r="C23" s="30">
        <f>SUM(D23:H23)</f>
        <v>38790.244940000004</v>
      </c>
      <c r="D23" s="30">
        <f>SUM(D24:D27)</f>
        <v>6858.8000000000011</v>
      </c>
      <c r="E23" s="30">
        <f>SUM(E24:E27)</f>
        <v>7857.3612300000004</v>
      </c>
      <c r="F23" s="30">
        <f>SUM(F24:F27)</f>
        <v>7855.3530699999992</v>
      </c>
      <c r="G23" s="30">
        <f t="shared" ref="G23:H23" si="8">SUM(G24:G27)</f>
        <v>8109.3653200000008</v>
      </c>
      <c r="H23" s="30">
        <f t="shared" si="8"/>
        <v>8109.3653200000008</v>
      </c>
    </row>
    <row r="24" spans="1:8" ht="32.25" thickBot="1" x14ac:dyDescent="0.3">
      <c r="A24" s="16"/>
      <c r="B24" s="23" t="s">
        <v>152</v>
      </c>
      <c r="C24" s="32">
        <f t="shared" ref="C24:C28" si="9">SUM(D24:H24)</f>
        <v>14030.314940000002</v>
      </c>
      <c r="D24" s="45">
        <f>'ПОМ ВЦП'!F23+'ПОМ ВЦП'!F47</f>
        <v>2503.9700000000003</v>
      </c>
      <c r="E24" s="45">
        <f>'ПОМ ВЦП'!G23+'ПОМ ВЦП'!G47</f>
        <v>3011.1612300000002</v>
      </c>
      <c r="F24" s="45">
        <f>'ПОМ ВЦП'!H23+'ПОМ ВЦП'!H47</f>
        <v>2836.6530699999998</v>
      </c>
      <c r="G24" s="45">
        <f>'ПОМ ВЦП'!I23+'ПОМ ВЦП'!I47</f>
        <v>2839.26532</v>
      </c>
      <c r="H24" s="45">
        <f>'ПОМ ВЦП'!J23+'ПОМ ВЦП'!J47</f>
        <v>2839.26532</v>
      </c>
    </row>
    <row r="25" spans="1:8" ht="16.5" thickBot="1" x14ac:dyDescent="0.3">
      <c r="A25" s="16"/>
      <c r="B25" s="13" t="s">
        <v>124</v>
      </c>
      <c r="C25" s="32">
        <f t="shared" si="9"/>
        <v>24759.93</v>
      </c>
      <c r="D25" s="45">
        <f>'ПОМ ВЦП'!F24+'ПОМ ВЦП'!F48</f>
        <v>4354.8300000000008</v>
      </c>
      <c r="E25" s="45">
        <f>'ПОМ ВЦП'!G24+'ПОМ ВЦП'!G48</f>
        <v>4846.2000000000007</v>
      </c>
      <c r="F25" s="45">
        <f>'ПОМ ВЦП'!H24+'ПОМ ВЦП'!H48</f>
        <v>5018.7</v>
      </c>
      <c r="G25" s="45">
        <f>'ПОМ ВЦП'!I24+'ПОМ ВЦП'!I48</f>
        <v>5270.1</v>
      </c>
      <c r="H25" s="45">
        <f>'ПОМ ВЦП'!J24+'ПОМ ВЦП'!J48</f>
        <v>5270.1</v>
      </c>
    </row>
    <row r="26" spans="1:8" ht="16.5" thickBot="1" x14ac:dyDescent="0.3">
      <c r="A26" s="16"/>
      <c r="B26" s="13" t="s">
        <v>130</v>
      </c>
      <c r="C26" s="32">
        <f t="shared" si="9"/>
        <v>0</v>
      </c>
      <c r="D26" s="45"/>
      <c r="E26" s="45"/>
      <c r="F26" s="45"/>
      <c r="G26" s="45"/>
      <c r="H26" s="45"/>
    </row>
    <row r="27" spans="1:8" ht="16.5" thickBot="1" x14ac:dyDescent="0.3">
      <c r="A27" s="16"/>
      <c r="B27" s="13" t="s">
        <v>131</v>
      </c>
      <c r="C27" s="32">
        <f t="shared" si="9"/>
        <v>0</v>
      </c>
      <c r="D27" s="45"/>
      <c r="E27" s="45"/>
      <c r="F27" s="45"/>
      <c r="G27" s="45"/>
      <c r="H27" s="45"/>
    </row>
    <row r="28" spans="1:8" ht="16.5" thickBot="1" x14ac:dyDescent="0.3">
      <c r="A28" s="16"/>
      <c r="B28" s="13" t="s">
        <v>134</v>
      </c>
      <c r="C28" s="32">
        <f t="shared" si="9"/>
        <v>10700</v>
      </c>
      <c r="D28" s="33">
        <f>'ПОМ ВЦП'!F26</f>
        <v>3700</v>
      </c>
      <c r="E28" s="33">
        <f>'ПОМ ВЦП'!G26</f>
        <v>1750</v>
      </c>
      <c r="F28" s="33">
        <f>'ПОМ ВЦП'!H26</f>
        <v>1750</v>
      </c>
      <c r="G28" s="33">
        <f>'ПОМ ВЦП'!I26</f>
        <v>1750</v>
      </c>
      <c r="H28" s="33">
        <f>'ПОМ ВЦП'!J26</f>
        <v>1750</v>
      </c>
    </row>
    <row r="29" spans="1:8" ht="32.25" thickBot="1" x14ac:dyDescent="0.3">
      <c r="A29" s="12"/>
      <c r="B29" s="13" t="s">
        <v>154</v>
      </c>
      <c r="C29" s="30">
        <f>SUM(D29:H29)</f>
        <v>2190.92</v>
      </c>
      <c r="D29" s="30">
        <f>SUM(D30:D33)</f>
        <v>576.91999999999996</v>
      </c>
      <c r="E29" s="30">
        <f t="shared" ref="E29:F29" si="10">SUM(E30:E33)</f>
        <v>391</v>
      </c>
      <c r="F29" s="30">
        <f t="shared" si="10"/>
        <v>401</v>
      </c>
      <c r="G29" s="30">
        <f t="shared" ref="G29:H29" si="11">SUM(G30:G33)</f>
        <v>411</v>
      </c>
      <c r="H29" s="30">
        <f t="shared" si="11"/>
        <v>411</v>
      </c>
    </row>
    <row r="30" spans="1:8" ht="32.25" thickBot="1" x14ac:dyDescent="0.3">
      <c r="A30" s="16"/>
      <c r="B30" s="23" t="s">
        <v>152</v>
      </c>
      <c r="C30" s="32">
        <f t="shared" ref="C30:C34" si="12">SUM(D30:H30)</f>
        <v>311.01</v>
      </c>
      <c r="D30" s="45">
        <f>'ПОМ ВЦП'!F29+'ПОМ ВЦП'!F53</f>
        <v>107.01000000000002</v>
      </c>
      <c r="E30" s="45">
        <f>'ПОМ ВЦП'!G29+'ПОМ ВЦП'!G53</f>
        <v>51</v>
      </c>
      <c r="F30" s="45">
        <f>'ПОМ ВЦП'!H29+'ПОМ ВЦП'!H53</f>
        <v>51</v>
      </c>
      <c r="G30" s="45">
        <f>'ПОМ ВЦП'!I29+'ПОМ ВЦП'!I53</f>
        <v>51</v>
      </c>
      <c r="H30" s="45">
        <f>'ПОМ ВЦП'!J29+'ПОМ ВЦП'!J53</f>
        <v>51</v>
      </c>
    </row>
    <row r="31" spans="1:8" ht="16.5" thickBot="1" x14ac:dyDescent="0.3">
      <c r="A31" s="16"/>
      <c r="B31" s="13" t="s">
        <v>124</v>
      </c>
      <c r="C31" s="32">
        <f t="shared" si="12"/>
        <v>1399.9099999999999</v>
      </c>
      <c r="D31" s="45">
        <f>'ПОМ ВЦП'!F30+'ПОМ ВЦП'!F54</f>
        <v>269.90999999999997</v>
      </c>
      <c r="E31" s="45">
        <f>'ПОМ ВЦП'!G30+'ПОМ ВЦП'!G54</f>
        <v>270</v>
      </c>
      <c r="F31" s="45">
        <f>'ПОМ ВЦП'!H30+'ПОМ ВЦП'!H54</f>
        <v>280</v>
      </c>
      <c r="G31" s="45">
        <f>'ПОМ ВЦП'!I30+'ПОМ ВЦП'!I54</f>
        <v>290</v>
      </c>
      <c r="H31" s="45">
        <f>'ПОМ ВЦП'!J30+'ПОМ ВЦП'!J54</f>
        <v>290</v>
      </c>
    </row>
    <row r="32" spans="1:8" ht="16.5" thickBot="1" x14ac:dyDescent="0.3">
      <c r="A32" s="16"/>
      <c r="B32" s="13" t="s">
        <v>130</v>
      </c>
      <c r="C32" s="32">
        <f t="shared" si="12"/>
        <v>0</v>
      </c>
      <c r="D32" s="45"/>
      <c r="E32" s="45"/>
      <c r="F32" s="45"/>
      <c r="G32" s="45"/>
      <c r="H32" s="45"/>
    </row>
    <row r="33" spans="1:8" ht="16.5" thickBot="1" x14ac:dyDescent="0.3">
      <c r="A33" s="16"/>
      <c r="B33" s="13" t="s">
        <v>131</v>
      </c>
      <c r="C33" s="32">
        <f t="shared" si="12"/>
        <v>480</v>
      </c>
      <c r="D33" s="45">
        <f>'ПОМ ВЦП'!F32</f>
        <v>200</v>
      </c>
      <c r="E33" s="45">
        <f>'ПОМ ВЦП'!G32</f>
        <v>70</v>
      </c>
      <c r="F33" s="45">
        <f>'ПОМ ВЦП'!H32</f>
        <v>70</v>
      </c>
      <c r="G33" s="45">
        <f>'ПОМ ВЦП'!I32</f>
        <v>70</v>
      </c>
      <c r="H33" s="45">
        <f>'ПОМ ВЦП'!J32</f>
        <v>70</v>
      </c>
    </row>
    <row r="34" spans="1:8" ht="16.5" thickBot="1" x14ac:dyDescent="0.3">
      <c r="A34" s="16"/>
      <c r="B34" s="13" t="s">
        <v>134</v>
      </c>
      <c r="C34" s="32">
        <f t="shared" si="12"/>
        <v>0</v>
      </c>
      <c r="D34" s="33"/>
      <c r="E34" s="33"/>
      <c r="F34" s="33"/>
      <c r="G34" s="33"/>
      <c r="H34" s="33"/>
    </row>
    <row r="36" spans="1:8" s="27" customFormat="1" ht="30.75" customHeight="1" x14ac:dyDescent="0.2">
      <c r="A36" s="312" t="s">
        <v>138</v>
      </c>
      <c r="B36" s="312"/>
      <c r="C36" s="312"/>
      <c r="D36" s="312"/>
      <c r="E36" s="312"/>
      <c r="F36" s="312"/>
      <c r="G36" s="312"/>
      <c r="H36" s="312"/>
    </row>
    <row r="37" spans="1:8" s="27" customFormat="1" ht="12.75" x14ac:dyDescent="0.2">
      <c r="A37" s="312" t="s">
        <v>139</v>
      </c>
      <c r="B37" s="312"/>
      <c r="C37" s="312"/>
      <c r="D37" s="312"/>
      <c r="E37" s="312"/>
      <c r="F37" s="312"/>
      <c r="G37" s="312"/>
      <c r="H37" s="312"/>
    </row>
    <row r="38" spans="1:8" s="27" customFormat="1" ht="41.25" customHeight="1" x14ac:dyDescent="0.2">
      <c r="A38" s="312" t="s">
        <v>140</v>
      </c>
      <c r="B38" s="312"/>
      <c r="C38" s="312"/>
      <c r="D38" s="312"/>
      <c r="E38" s="312"/>
      <c r="F38" s="312"/>
      <c r="G38" s="312"/>
      <c r="H38" s="312"/>
    </row>
  </sheetData>
  <mergeCells count="12">
    <mergeCell ref="A9:B9"/>
    <mergeCell ref="A10:B10"/>
    <mergeCell ref="A36:H36"/>
    <mergeCell ref="A37:H37"/>
    <mergeCell ref="A38:H38"/>
    <mergeCell ref="D1:H1"/>
    <mergeCell ref="A2:H2"/>
    <mergeCell ref="A4:H4"/>
    <mergeCell ref="A6:B8"/>
    <mergeCell ref="D6:H6"/>
    <mergeCell ref="D7:H7"/>
    <mergeCell ref="B3:H3"/>
  </mergeCells>
  <hyperlinks>
    <hyperlink ref="A4" location="_ftn1" display="_ftn1"/>
    <hyperlink ref="B16" location="_ftn2" display="_ftn2"/>
    <hyperlink ref="B22" location="_ftn3" display="_ftn3"/>
    <hyperlink ref="A36" location="_ftnref1" display="_ftnref1"/>
    <hyperlink ref="A37" location="_ftnref2" display="_ftnref2"/>
    <hyperlink ref="A38" location="_ftnref3" display="_ftnref3"/>
  </hyperlinks>
  <pageMargins left="0.70866141732283472" right="0.70866141732283472" top="0.74803149606299213" bottom="0.74803149606299213" header="0.31496062992125984" footer="0.31496062992125984"/>
  <pageSetup paperSize="9" scale="75" firstPageNumber="30" orientation="portrait" useFirstPageNumber="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0"/>
  <sheetViews>
    <sheetView view="pageBreakPreview" zoomScale="60" zoomScaleNormal="100" zoomScalePageLayoutView="70" workbookViewId="0">
      <selection activeCell="J20" sqref="J20"/>
    </sheetView>
  </sheetViews>
  <sheetFormatPr defaultColWidth="9.140625" defaultRowHeight="15" x14ac:dyDescent="0.25"/>
  <cols>
    <col min="1" max="1" width="5.7109375" style="64" customWidth="1"/>
    <col min="2" max="2" width="17.140625" style="64" customWidth="1"/>
    <col min="3" max="3" width="14.28515625" style="64" customWidth="1"/>
    <col min="4" max="4" width="15.140625" style="64" customWidth="1"/>
    <col min="5" max="5" width="11.140625" style="64" bestFit="1" customWidth="1"/>
    <col min="6" max="6" width="10.140625" style="64" bestFit="1" customWidth="1"/>
    <col min="7" max="8" width="10.140625" style="64" customWidth="1"/>
    <col min="9" max="10" width="10.140625" style="29" bestFit="1" customWidth="1"/>
    <col min="11" max="11" width="17.28515625" style="64" customWidth="1"/>
    <col min="12" max="15" width="8.85546875" style="64" customWidth="1"/>
    <col min="16" max="16" width="11.85546875" style="64" customWidth="1"/>
    <col min="17" max="17" width="18" style="64" customWidth="1"/>
    <col min="18" max="16384" width="9.140625" style="64"/>
  </cols>
  <sheetData>
    <row r="1" spans="1:17" ht="18.75" x14ac:dyDescent="0.3">
      <c r="A1" s="63"/>
      <c r="B1" s="63"/>
      <c r="C1" s="63"/>
      <c r="D1" s="63"/>
      <c r="E1" s="63"/>
      <c r="F1" s="63"/>
      <c r="G1" s="63"/>
      <c r="H1" s="63"/>
      <c r="I1" s="28"/>
      <c r="J1" s="28"/>
      <c r="K1" s="63"/>
      <c r="L1" s="63"/>
      <c r="M1" s="63"/>
      <c r="N1" s="63"/>
      <c r="O1" s="314" t="s">
        <v>381</v>
      </c>
      <c r="P1" s="314"/>
      <c r="Q1" s="314"/>
    </row>
    <row r="2" spans="1:17" ht="15.75" x14ac:dyDescent="0.25">
      <c r="A2" s="63"/>
      <c r="B2" s="63"/>
      <c r="C2" s="63"/>
      <c r="D2" s="63"/>
      <c r="E2" s="63"/>
      <c r="F2" s="337" t="s">
        <v>389</v>
      </c>
      <c r="G2" s="337"/>
      <c r="H2" s="337"/>
      <c r="I2" s="337"/>
      <c r="J2" s="337"/>
      <c r="K2" s="337"/>
      <c r="L2" s="337"/>
      <c r="M2" s="337"/>
      <c r="N2" s="337"/>
      <c r="O2" s="337"/>
      <c r="P2" s="337"/>
      <c r="Q2" s="337"/>
    </row>
    <row r="3" spans="1:17" ht="35.25" customHeight="1" x14ac:dyDescent="0.25">
      <c r="A3" s="325" t="s">
        <v>94</v>
      </c>
      <c r="B3" s="325"/>
      <c r="C3" s="325"/>
      <c r="D3" s="325"/>
      <c r="E3" s="325"/>
      <c r="F3" s="325"/>
      <c r="G3" s="325"/>
      <c r="H3" s="325"/>
      <c r="I3" s="325"/>
      <c r="J3" s="325"/>
      <c r="K3" s="325"/>
      <c r="L3" s="325"/>
      <c r="M3" s="325"/>
      <c r="N3" s="325"/>
      <c r="O3" s="325"/>
      <c r="P3" s="325"/>
      <c r="Q3" s="325"/>
    </row>
    <row r="4" spans="1:17" ht="15.75" customHeight="1" x14ac:dyDescent="0.25">
      <c r="A4" s="81"/>
      <c r="B4" s="81"/>
      <c r="C4" s="81"/>
      <c r="D4" s="81"/>
      <c r="E4" s="81"/>
      <c r="F4" s="81"/>
      <c r="G4" s="81"/>
      <c r="H4" s="81"/>
      <c r="I4" s="82"/>
      <c r="J4" s="82"/>
      <c r="K4" s="81"/>
      <c r="L4" s="81"/>
      <c r="M4" s="81"/>
      <c r="N4" s="81"/>
      <c r="O4" s="81"/>
      <c r="P4" s="81"/>
      <c r="Q4" s="81"/>
    </row>
    <row r="5" spans="1:17" ht="15.75" x14ac:dyDescent="0.25">
      <c r="A5" s="315" t="s">
        <v>26</v>
      </c>
      <c r="B5" s="83" t="s">
        <v>27</v>
      </c>
      <c r="C5" s="83" t="s">
        <v>29</v>
      </c>
      <c r="D5" s="83" t="s">
        <v>33</v>
      </c>
      <c r="E5" s="329" t="s">
        <v>35</v>
      </c>
      <c r="F5" s="330"/>
      <c r="G5" s="330"/>
      <c r="H5" s="330"/>
      <c r="I5" s="330"/>
      <c r="J5" s="331"/>
      <c r="K5" s="329" t="s">
        <v>36</v>
      </c>
      <c r="L5" s="330"/>
      <c r="M5" s="330"/>
      <c r="N5" s="330"/>
      <c r="O5" s="330"/>
      <c r="P5" s="331"/>
      <c r="Q5" s="83" t="s">
        <v>39</v>
      </c>
    </row>
    <row r="6" spans="1:17" ht="15.75" x14ac:dyDescent="0.25">
      <c r="A6" s="316"/>
      <c r="B6" s="84" t="s">
        <v>84</v>
      </c>
      <c r="C6" s="84" t="s">
        <v>30</v>
      </c>
      <c r="D6" s="341" t="s">
        <v>34</v>
      </c>
      <c r="E6" s="332" t="s">
        <v>85</v>
      </c>
      <c r="F6" s="318"/>
      <c r="G6" s="318"/>
      <c r="H6" s="318"/>
      <c r="I6" s="318"/>
      <c r="J6" s="333"/>
      <c r="K6" s="332" t="s">
        <v>37</v>
      </c>
      <c r="L6" s="318"/>
      <c r="M6" s="318"/>
      <c r="N6" s="318"/>
      <c r="O6" s="318"/>
      <c r="P6" s="333"/>
      <c r="Q6" s="84" t="s">
        <v>86</v>
      </c>
    </row>
    <row r="7" spans="1:17" ht="15.75" x14ac:dyDescent="0.25">
      <c r="A7" s="316"/>
      <c r="B7" s="84" t="s">
        <v>28</v>
      </c>
      <c r="C7" s="84" t="s">
        <v>31</v>
      </c>
      <c r="D7" s="341"/>
      <c r="E7" s="332" t="s">
        <v>25</v>
      </c>
      <c r="F7" s="318"/>
      <c r="G7" s="318"/>
      <c r="H7" s="318"/>
      <c r="I7" s="318"/>
      <c r="J7" s="333"/>
      <c r="K7" s="332" t="s">
        <v>38</v>
      </c>
      <c r="L7" s="318"/>
      <c r="M7" s="318"/>
      <c r="N7" s="318"/>
      <c r="O7" s="318"/>
      <c r="P7" s="333"/>
      <c r="Q7" s="84" t="s">
        <v>40</v>
      </c>
    </row>
    <row r="8" spans="1:17" ht="15.75" x14ac:dyDescent="0.25">
      <c r="A8" s="316"/>
      <c r="B8" s="86"/>
      <c r="C8" s="84" t="s">
        <v>32</v>
      </c>
      <c r="D8" s="86"/>
      <c r="E8" s="334"/>
      <c r="F8" s="335"/>
      <c r="G8" s="335"/>
      <c r="H8" s="335"/>
      <c r="I8" s="335"/>
      <c r="J8" s="336"/>
      <c r="K8" s="334"/>
      <c r="L8" s="335"/>
      <c r="M8" s="335"/>
      <c r="N8" s="335"/>
      <c r="O8" s="335"/>
      <c r="P8" s="336"/>
      <c r="Q8" s="84" t="s">
        <v>41</v>
      </c>
    </row>
    <row r="9" spans="1:17" ht="15.75" x14ac:dyDescent="0.25">
      <c r="A9" s="316"/>
      <c r="B9" s="86"/>
      <c r="C9" s="86"/>
      <c r="D9" s="86"/>
      <c r="E9" s="334"/>
      <c r="F9" s="335"/>
      <c r="G9" s="335"/>
      <c r="H9" s="335"/>
      <c r="I9" s="335"/>
      <c r="J9" s="336"/>
      <c r="K9" s="334"/>
      <c r="L9" s="335"/>
      <c r="M9" s="335"/>
      <c r="N9" s="335"/>
      <c r="O9" s="335"/>
      <c r="P9" s="336"/>
      <c r="Q9" s="84" t="s">
        <v>42</v>
      </c>
    </row>
    <row r="10" spans="1:17" ht="15.75" x14ac:dyDescent="0.25">
      <c r="A10" s="316"/>
      <c r="B10" s="86"/>
      <c r="C10" s="86"/>
      <c r="D10" s="86"/>
      <c r="E10" s="326"/>
      <c r="F10" s="327"/>
      <c r="G10" s="327"/>
      <c r="H10" s="327"/>
      <c r="I10" s="327"/>
      <c r="J10" s="328"/>
      <c r="K10" s="326"/>
      <c r="L10" s="327"/>
      <c r="M10" s="327"/>
      <c r="N10" s="327"/>
      <c r="O10" s="327"/>
      <c r="P10" s="328"/>
      <c r="Q10" s="84" t="s">
        <v>43</v>
      </c>
    </row>
    <row r="11" spans="1:17" ht="15.75" x14ac:dyDescent="0.25">
      <c r="A11" s="316"/>
      <c r="B11" s="86"/>
      <c r="C11" s="86"/>
      <c r="D11" s="86"/>
      <c r="E11" s="318" t="s">
        <v>45</v>
      </c>
      <c r="F11" s="83">
        <v>2020</v>
      </c>
      <c r="G11" s="83">
        <v>2021</v>
      </c>
      <c r="H11" s="83">
        <v>2022</v>
      </c>
      <c r="I11" s="83">
        <v>2023</v>
      </c>
      <c r="J11" s="83">
        <v>2024</v>
      </c>
      <c r="K11" s="87" t="s">
        <v>47</v>
      </c>
      <c r="L11" s="83">
        <v>2020</v>
      </c>
      <c r="M11" s="83">
        <v>2021</v>
      </c>
      <c r="N11" s="83">
        <v>2022</v>
      </c>
      <c r="O11" s="83">
        <v>2023</v>
      </c>
      <c r="P11" s="83">
        <v>2024</v>
      </c>
      <c r="Q11" s="85" t="s">
        <v>44</v>
      </c>
    </row>
    <row r="12" spans="1:17" ht="15.75" x14ac:dyDescent="0.25">
      <c r="A12" s="316"/>
      <c r="B12" s="86"/>
      <c r="C12" s="86"/>
      <c r="D12" s="86"/>
      <c r="E12" s="318"/>
      <c r="F12" s="84" t="s">
        <v>46</v>
      </c>
      <c r="G12" s="84" t="s">
        <v>46</v>
      </c>
      <c r="H12" s="84" t="s">
        <v>46</v>
      </c>
      <c r="I12" s="84" t="s">
        <v>46</v>
      </c>
      <c r="J12" s="84" t="s">
        <v>46</v>
      </c>
      <c r="K12" s="87" t="s">
        <v>48</v>
      </c>
      <c r="L12" s="84" t="s">
        <v>46</v>
      </c>
      <c r="M12" s="84" t="s">
        <v>46</v>
      </c>
      <c r="N12" s="84" t="s">
        <v>46</v>
      </c>
      <c r="O12" s="84" t="s">
        <v>46</v>
      </c>
      <c r="P12" s="84" t="s">
        <v>46</v>
      </c>
      <c r="Q12" s="88"/>
    </row>
    <row r="13" spans="1:17" ht="15.75" x14ac:dyDescent="0.25">
      <c r="A13" s="89">
        <v>1</v>
      </c>
      <c r="B13" s="89">
        <v>2</v>
      </c>
      <c r="C13" s="89">
        <v>3</v>
      </c>
      <c r="D13" s="89">
        <v>4</v>
      </c>
      <c r="E13" s="89">
        <v>5</v>
      </c>
      <c r="F13" s="89">
        <v>6</v>
      </c>
      <c r="G13" s="89">
        <v>7</v>
      </c>
      <c r="H13" s="89">
        <v>8</v>
      </c>
      <c r="I13" s="89">
        <v>9</v>
      </c>
      <c r="J13" s="89">
        <v>10</v>
      </c>
      <c r="K13" s="89">
        <v>11</v>
      </c>
      <c r="L13" s="89">
        <v>12</v>
      </c>
      <c r="M13" s="89">
        <v>13</v>
      </c>
      <c r="N13" s="89">
        <v>14</v>
      </c>
      <c r="O13" s="89">
        <v>15</v>
      </c>
      <c r="P13" s="89">
        <v>16</v>
      </c>
      <c r="Q13" s="89">
        <v>17</v>
      </c>
    </row>
    <row r="14" spans="1:17" ht="15.75" x14ac:dyDescent="0.25">
      <c r="A14" s="90"/>
      <c r="B14" s="319" t="s">
        <v>93</v>
      </c>
      <c r="C14" s="320"/>
      <c r="D14" s="320"/>
      <c r="E14" s="320"/>
      <c r="F14" s="320"/>
      <c r="G14" s="320"/>
      <c r="H14" s="320"/>
      <c r="I14" s="320"/>
      <c r="J14" s="320"/>
      <c r="K14" s="320"/>
      <c r="L14" s="320"/>
      <c r="M14" s="320"/>
      <c r="N14" s="320"/>
      <c r="O14" s="320"/>
      <c r="P14" s="320"/>
      <c r="Q14" s="321"/>
    </row>
    <row r="15" spans="1:17" ht="15.75" x14ac:dyDescent="0.25">
      <c r="A15" s="315" t="s">
        <v>7</v>
      </c>
      <c r="B15" s="322" t="s">
        <v>248</v>
      </c>
      <c r="C15" s="315" t="s">
        <v>92</v>
      </c>
      <c r="D15" s="90" t="s">
        <v>49</v>
      </c>
      <c r="E15" s="91">
        <f>SUM(F15:J15)</f>
        <v>50085.975489999997</v>
      </c>
      <c r="F15" s="91">
        <f>SUM(F17:F20)</f>
        <v>10575.237289999999</v>
      </c>
      <c r="G15" s="91">
        <f t="shared" ref="G15:H15" si="0">SUM(G17:G20)</f>
        <v>10717.538199999999</v>
      </c>
      <c r="H15" s="91">
        <f t="shared" si="0"/>
        <v>9505</v>
      </c>
      <c r="I15" s="92">
        <f t="shared" ref="I15:J15" si="1">SUM(I17:I20)</f>
        <v>9455</v>
      </c>
      <c r="J15" s="92">
        <f t="shared" si="1"/>
        <v>9833.2000000000007</v>
      </c>
      <c r="K15" s="315" t="s">
        <v>249</v>
      </c>
      <c r="L15" s="338">
        <v>1</v>
      </c>
      <c r="M15" s="338">
        <v>1</v>
      </c>
      <c r="N15" s="338">
        <v>1</v>
      </c>
      <c r="O15" s="338">
        <v>1</v>
      </c>
      <c r="P15" s="338">
        <v>1</v>
      </c>
      <c r="Q15" s="315" t="s">
        <v>83</v>
      </c>
    </row>
    <row r="16" spans="1:17" ht="15.75" x14ac:dyDescent="0.25">
      <c r="A16" s="316"/>
      <c r="B16" s="323"/>
      <c r="C16" s="316"/>
      <c r="D16" s="90" t="s">
        <v>50</v>
      </c>
      <c r="E16" s="91"/>
      <c r="F16" s="91"/>
      <c r="G16" s="91"/>
      <c r="H16" s="91"/>
      <c r="I16" s="92"/>
      <c r="J16" s="92"/>
      <c r="K16" s="316"/>
      <c r="L16" s="339"/>
      <c r="M16" s="339"/>
      <c r="N16" s="339"/>
      <c r="O16" s="339"/>
      <c r="P16" s="339"/>
      <c r="Q16" s="316"/>
    </row>
    <row r="17" spans="1:17" ht="15.75" x14ac:dyDescent="0.25">
      <c r="A17" s="316"/>
      <c r="B17" s="323"/>
      <c r="C17" s="316"/>
      <c r="D17" s="90" t="s">
        <v>51</v>
      </c>
      <c r="E17" s="91">
        <f t="shared" ref="E17:E20" si="2">SUM(F17:J17)</f>
        <v>50085.975489999997</v>
      </c>
      <c r="F17" s="91">
        <v>10575.237289999999</v>
      </c>
      <c r="G17" s="91">
        <f>10555.194+131.9542+30.39</f>
        <v>10717.538199999999</v>
      </c>
      <c r="H17" s="91">
        <v>9505</v>
      </c>
      <c r="I17" s="91">
        <v>9455</v>
      </c>
      <c r="J17" s="91">
        <f>I17*1.04</f>
        <v>9833.2000000000007</v>
      </c>
      <c r="K17" s="316"/>
      <c r="L17" s="339"/>
      <c r="M17" s="339"/>
      <c r="N17" s="339"/>
      <c r="O17" s="339"/>
      <c r="P17" s="339"/>
      <c r="Q17" s="316"/>
    </row>
    <row r="18" spans="1:17" ht="15.75" x14ac:dyDescent="0.25">
      <c r="A18" s="316"/>
      <c r="B18" s="323"/>
      <c r="C18" s="316"/>
      <c r="D18" s="90" t="s">
        <v>52</v>
      </c>
      <c r="E18" s="93">
        <f t="shared" si="2"/>
        <v>0</v>
      </c>
      <c r="F18" s="93">
        <v>0</v>
      </c>
      <c r="G18" s="93">
        <v>0</v>
      </c>
      <c r="H18" s="93">
        <v>0</v>
      </c>
      <c r="I18" s="94">
        <v>0</v>
      </c>
      <c r="J18" s="94">
        <v>0</v>
      </c>
      <c r="K18" s="316"/>
      <c r="L18" s="339"/>
      <c r="M18" s="339"/>
      <c r="N18" s="339"/>
      <c r="O18" s="339"/>
      <c r="P18" s="339"/>
      <c r="Q18" s="316"/>
    </row>
    <row r="19" spans="1:17" ht="15.75" x14ac:dyDescent="0.25">
      <c r="A19" s="316"/>
      <c r="B19" s="323"/>
      <c r="C19" s="316"/>
      <c r="D19" s="90" t="s">
        <v>53</v>
      </c>
      <c r="E19" s="93">
        <f t="shared" si="2"/>
        <v>0</v>
      </c>
      <c r="F19" s="93">
        <v>0</v>
      </c>
      <c r="G19" s="93">
        <v>0</v>
      </c>
      <c r="H19" s="93">
        <v>0</v>
      </c>
      <c r="I19" s="94">
        <v>0</v>
      </c>
      <c r="J19" s="94">
        <v>0</v>
      </c>
      <c r="K19" s="316"/>
      <c r="L19" s="339"/>
      <c r="M19" s="339"/>
      <c r="N19" s="339"/>
      <c r="O19" s="339"/>
      <c r="P19" s="339"/>
      <c r="Q19" s="316"/>
    </row>
    <row r="20" spans="1:17" ht="15.75" x14ac:dyDescent="0.25">
      <c r="A20" s="317"/>
      <c r="B20" s="324"/>
      <c r="C20" s="317"/>
      <c r="D20" s="90" t="s">
        <v>54</v>
      </c>
      <c r="E20" s="93">
        <f t="shared" si="2"/>
        <v>0</v>
      </c>
      <c r="F20" s="93">
        <v>0</v>
      </c>
      <c r="G20" s="93">
        <v>0</v>
      </c>
      <c r="H20" s="93">
        <v>0</v>
      </c>
      <c r="I20" s="94">
        <v>0</v>
      </c>
      <c r="J20" s="94">
        <v>0</v>
      </c>
      <c r="K20" s="317"/>
      <c r="L20" s="340"/>
      <c r="M20" s="340"/>
      <c r="N20" s="340"/>
      <c r="O20" s="340"/>
      <c r="P20" s="340"/>
      <c r="Q20" s="317"/>
    </row>
    <row r="21" spans="1:17" ht="15.75" x14ac:dyDescent="0.25">
      <c r="A21" s="315"/>
      <c r="B21" s="315" t="s">
        <v>55</v>
      </c>
      <c r="C21" s="315"/>
      <c r="D21" s="90" t="s">
        <v>49</v>
      </c>
      <c r="E21" s="91">
        <f>SUM(F21:J21)</f>
        <v>50085.975489999997</v>
      </c>
      <c r="F21" s="91">
        <f>SUM(F23:F26)</f>
        <v>10575.237289999999</v>
      </c>
      <c r="G21" s="91">
        <f t="shared" ref="G21:H21" si="3">SUM(G23:G26)</f>
        <v>10717.538199999999</v>
      </c>
      <c r="H21" s="91">
        <f t="shared" si="3"/>
        <v>9505</v>
      </c>
      <c r="I21" s="92">
        <f t="shared" ref="I21:J21" si="4">SUM(I23:I26)</f>
        <v>9455</v>
      </c>
      <c r="J21" s="92">
        <f t="shared" si="4"/>
        <v>9833.2000000000007</v>
      </c>
      <c r="K21" s="316"/>
      <c r="L21" s="316"/>
      <c r="M21" s="316"/>
      <c r="N21" s="316"/>
      <c r="O21" s="316"/>
      <c r="P21" s="316"/>
      <c r="Q21" s="315"/>
    </row>
    <row r="22" spans="1:17" ht="15.75" x14ac:dyDescent="0.25">
      <c r="A22" s="316"/>
      <c r="B22" s="316"/>
      <c r="C22" s="316"/>
      <c r="D22" s="90" t="s">
        <v>50</v>
      </c>
      <c r="E22" s="91"/>
      <c r="F22" s="91"/>
      <c r="G22" s="91"/>
      <c r="H22" s="91"/>
      <c r="I22" s="92"/>
      <c r="J22" s="92"/>
      <c r="K22" s="316"/>
      <c r="L22" s="316"/>
      <c r="M22" s="316"/>
      <c r="N22" s="316"/>
      <c r="O22" s="316"/>
      <c r="P22" s="316"/>
      <c r="Q22" s="316"/>
    </row>
    <row r="23" spans="1:17" ht="15.75" x14ac:dyDescent="0.25">
      <c r="A23" s="316"/>
      <c r="B23" s="316"/>
      <c r="C23" s="316"/>
      <c r="D23" s="90" t="s">
        <v>51</v>
      </c>
      <c r="E23" s="91">
        <f t="shared" ref="E23:E26" si="5">SUM(F23:J23)</f>
        <v>50085.975489999997</v>
      </c>
      <c r="F23" s="91">
        <f t="shared" ref="F23:J26" si="6">F17</f>
        <v>10575.237289999999</v>
      </c>
      <c r="G23" s="91">
        <f t="shared" ref="G23:H23" si="7">G17</f>
        <v>10717.538199999999</v>
      </c>
      <c r="H23" s="91">
        <f t="shared" si="7"/>
        <v>9505</v>
      </c>
      <c r="I23" s="92">
        <f t="shared" si="6"/>
        <v>9455</v>
      </c>
      <c r="J23" s="92">
        <f t="shared" si="6"/>
        <v>9833.2000000000007</v>
      </c>
      <c r="K23" s="316"/>
      <c r="L23" s="316"/>
      <c r="M23" s="316"/>
      <c r="N23" s="316"/>
      <c r="O23" s="316"/>
      <c r="P23" s="316"/>
      <c r="Q23" s="316"/>
    </row>
    <row r="24" spans="1:17" ht="15.75" x14ac:dyDescent="0.25">
      <c r="A24" s="316"/>
      <c r="B24" s="316"/>
      <c r="C24" s="316"/>
      <c r="D24" s="90" t="s">
        <v>52</v>
      </c>
      <c r="E24" s="93">
        <f t="shared" si="5"/>
        <v>0</v>
      </c>
      <c r="F24" s="93">
        <f t="shared" si="6"/>
        <v>0</v>
      </c>
      <c r="G24" s="93">
        <f t="shared" ref="G24:H24" si="8">G18</f>
        <v>0</v>
      </c>
      <c r="H24" s="93">
        <f t="shared" si="8"/>
        <v>0</v>
      </c>
      <c r="I24" s="94">
        <f t="shared" si="6"/>
        <v>0</v>
      </c>
      <c r="J24" s="94">
        <f t="shared" si="6"/>
        <v>0</v>
      </c>
      <c r="K24" s="316"/>
      <c r="L24" s="316"/>
      <c r="M24" s="316"/>
      <c r="N24" s="316"/>
      <c r="O24" s="316"/>
      <c r="P24" s="316"/>
      <c r="Q24" s="316"/>
    </row>
    <row r="25" spans="1:17" ht="15.75" x14ac:dyDescent="0.25">
      <c r="A25" s="316"/>
      <c r="B25" s="316"/>
      <c r="C25" s="316"/>
      <c r="D25" s="90" t="s">
        <v>53</v>
      </c>
      <c r="E25" s="93">
        <f t="shared" si="5"/>
        <v>0</v>
      </c>
      <c r="F25" s="93">
        <f t="shared" si="6"/>
        <v>0</v>
      </c>
      <c r="G25" s="93">
        <f t="shared" ref="G25:H25" si="9">G19</f>
        <v>0</v>
      </c>
      <c r="H25" s="93">
        <f t="shared" si="9"/>
        <v>0</v>
      </c>
      <c r="I25" s="94">
        <f t="shared" si="6"/>
        <v>0</v>
      </c>
      <c r="J25" s="94">
        <f t="shared" si="6"/>
        <v>0</v>
      </c>
      <c r="K25" s="316"/>
      <c r="L25" s="316"/>
      <c r="M25" s="316"/>
      <c r="N25" s="316"/>
      <c r="O25" s="316"/>
      <c r="P25" s="316"/>
      <c r="Q25" s="316"/>
    </row>
    <row r="26" spans="1:17" ht="15.75" x14ac:dyDescent="0.25">
      <c r="A26" s="317"/>
      <c r="B26" s="317"/>
      <c r="C26" s="317"/>
      <c r="D26" s="90" t="s">
        <v>54</v>
      </c>
      <c r="E26" s="93">
        <f t="shared" si="5"/>
        <v>0</v>
      </c>
      <c r="F26" s="93">
        <f t="shared" si="6"/>
        <v>0</v>
      </c>
      <c r="G26" s="93">
        <f t="shared" ref="G26:H26" si="10">G20</f>
        <v>0</v>
      </c>
      <c r="H26" s="93">
        <f t="shared" si="10"/>
        <v>0</v>
      </c>
      <c r="I26" s="94">
        <f t="shared" si="6"/>
        <v>0</v>
      </c>
      <c r="J26" s="94">
        <f t="shared" si="6"/>
        <v>0</v>
      </c>
      <c r="K26" s="317"/>
      <c r="L26" s="317"/>
      <c r="M26" s="317"/>
      <c r="N26" s="317"/>
      <c r="O26" s="317"/>
      <c r="P26" s="317"/>
      <c r="Q26" s="317"/>
    </row>
    <row r="27" spans="1:17" ht="15.75" x14ac:dyDescent="0.25">
      <c r="A27" s="87"/>
      <c r="B27" s="87"/>
      <c r="C27" s="87"/>
      <c r="D27" s="95"/>
      <c r="E27" s="96"/>
      <c r="F27" s="96"/>
      <c r="G27" s="96"/>
      <c r="H27" s="96"/>
      <c r="I27" s="97"/>
      <c r="J27" s="97"/>
      <c r="K27" s="87"/>
      <c r="L27" s="87"/>
      <c r="M27" s="87"/>
      <c r="N27" s="87"/>
      <c r="O27" s="87"/>
      <c r="P27" s="87"/>
      <c r="Q27" s="87"/>
    </row>
    <row r="28" spans="1:17" ht="32.25" customHeight="1" x14ac:dyDescent="0.25">
      <c r="A28" s="313" t="s">
        <v>56</v>
      </c>
      <c r="B28" s="313"/>
      <c r="C28" s="313"/>
      <c r="D28" s="313"/>
      <c r="E28" s="313"/>
      <c r="F28" s="313"/>
      <c r="G28" s="313"/>
      <c r="H28" s="313"/>
      <c r="I28" s="313"/>
      <c r="J28" s="313"/>
      <c r="K28" s="313"/>
      <c r="L28" s="313"/>
      <c r="M28" s="313"/>
      <c r="N28" s="313"/>
      <c r="O28" s="313"/>
      <c r="P28" s="313"/>
      <c r="Q28" s="313"/>
    </row>
    <row r="29" spans="1:17" x14ac:dyDescent="0.25">
      <c r="A29" s="313" t="s">
        <v>57</v>
      </c>
      <c r="B29" s="313"/>
      <c r="C29" s="313"/>
      <c r="D29" s="313"/>
      <c r="E29" s="313"/>
      <c r="F29" s="313"/>
      <c r="G29" s="313"/>
      <c r="H29" s="313"/>
      <c r="I29" s="313"/>
      <c r="J29" s="313"/>
      <c r="K29" s="313"/>
      <c r="L29" s="313"/>
      <c r="M29" s="313"/>
      <c r="N29" s="313"/>
      <c r="O29" s="313"/>
      <c r="P29" s="313"/>
      <c r="Q29" s="313"/>
    </row>
    <row r="40" ht="15" customHeight="1" x14ac:dyDescent="0.25"/>
  </sheetData>
  <mergeCells count="41">
    <mergeCell ref="D6:D7"/>
    <mergeCell ref="O15:O20"/>
    <mergeCell ref="P15:P20"/>
    <mergeCell ref="O21:O26"/>
    <mergeCell ref="P21:P26"/>
    <mergeCell ref="M15:M20"/>
    <mergeCell ref="N15:N20"/>
    <mergeCell ref="M21:M26"/>
    <mergeCell ref="N21:N26"/>
    <mergeCell ref="F2:Q2"/>
    <mergeCell ref="B21:B26"/>
    <mergeCell ref="C21:C26"/>
    <mergeCell ref="A21:A26"/>
    <mergeCell ref="K21:K26"/>
    <mergeCell ref="L21:L26"/>
    <mergeCell ref="E9:J9"/>
    <mergeCell ref="E10:J10"/>
    <mergeCell ref="K5:P5"/>
    <mergeCell ref="K6:P6"/>
    <mergeCell ref="K7:P7"/>
    <mergeCell ref="K8:P8"/>
    <mergeCell ref="K9:P9"/>
    <mergeCell ref="Q21:Q26"/>
    <mergeCell ref="K15:K20"/>
    <mergeCell ref="L15:L20"/>
    <mergeCell ref="A28:Q28"/>
    <mergeCell ref="A29:Q29"/>
    <mergeCell ref="O1:Q1"/>
    <mergeCell ref="A15:A20"/>
    <mergeCell ref="E11:E12"/>
    <mergeCell ref="B14:Q14"/>
    <mergeCell ref="B15:B20"/>
    <mergeCell ref="C15:C20"/>
    <mergeCell ref="Q15:Q20"/>
    <mergeCell ref="A3:Q3"/>
    <mergeCell ref="K10:P10"/>
    <mergeCell ref="A5:A12"/>
    <mergeCell ref="E5:J5"/>
    <mergeCell ref="E6:J6"/>
    <mergeCell ref="E7:J7"/>
    <mergeCell ref="E8:J8"/>
  </mergeCells>
  <hyperlinks>
    <hyperlink ref="D6" location="_ftn1" display="_ftn1"/>
    <hyperlink ref="Q11" location="_ftn2" display="_ftn2"/>
    <hyperlink ref="A28" location="_ftnref1" display="_ftnref1"/>
    <hyperlink ref="A29" location="_ftnref2" display="_ftnref2"/>
  </hyperlinks>
  <pageMargins left="0.31496062992125984" right="0.31496062992125984" top="0.74803149606299213" bottom="0.55118110236220474" header="0.31496062992125984" footer="0.31496062992125984"/>
  <pageSetup paperSize="9" scale="71" firstPageNumber="31" orientation="landscape" useFirstPageNumber="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3"/>
  <sheetViews>
    <sheetView view="pageBreakPreview" zoomScale="85" zoomScaleNormal="100" zoomScaleSheetLayoutView="85" workbookViewId="0">
      <selection activeCell="G7" sqref="G7"/>
    </sheetView>
  </sheetViews>
  <sheetFormatPr defaultRowHeight="15" x14ac:dyDescent="0.25"/>
  <cols>
    <col min="1" max="1" width="3" customWidth="1"/>
    <col min="2" max="2" width="41.140625" customWidth="1"/>
    <col min="3" max="3" width="13" bestFit="1" customWidth="1"/>
    <col min="4" max="8" width="11.5703125" customWidth="1"/>
  </cols>
  <sheetData>
    <row r="1" spans="1:8" x14ac:dyDescent="0.25">
      <c r="D1" s="264" t="s">
        <v>387</v>
      </c>
      <c r="E1" s="264"/>
      <c r="F1" s="264"/>
      <c r="G1" s="264"/>
      <c r="H1" s="264"/>
    </row>
    <row r="2" spans="1:8" ht="15" customHeight="1" x14ac:dyDescent="0.25">
      <c r="A2" s="265" t="s">
        <v>389</v>
      </c>
      <c r="B2" s="265"/>
      <c r="C2" s="265"/>
      <c r="D2" s="265"/>
      <c r="E2" s="265"/>
      <c r="F2" s="265"/>
      <c r="G2" s="265"/>
      <c r="H2" s="265"/>
    </row>
    <row r="3" spans="1:8" ht="15" customHeight="1" x14ac:dyDescent="0.25">
      <c r="A3" s="47"/>
      <c r="B3" s="47"/>
      <c r="C3" s="47"/>
      <c r="D3" s="47"/>
      <c r="E3" s="49"/>
      <c r="F3" s="49"/>
      <c r="G3" s="47"/>
      <c r="H3" s="47"/>
    </row>
    <row r="4" spans="1:8" ht="39.75" customHeight="1" thickBot="1" x14ac:dyDescent="0.3">
      <c r="A4" s="228" t="s">
        <v>223</v>
      </c>
      <c r="B4" s="228"/>
      <c r="C4" s="228"/>
      <c r="D4" s="228"/>
      <c r="E4" s="228"/>
      <c r="F4" s="228"/>
      <c r="G4" s="228"/>
      <c r="H4" s="228"/>
    </row>
    <row r="5" spans="1:8" ht="15.75" customHeight="1" x14ac:dyDescent="0.25">
      <c r="A5" s="218" t="s">
        <v>117</v>
      </c>
      <c r="B5" s="219"/>
      <c r="C5" s="8" t="s">
        <v>118</v>
      </c>
      <c r="D5" s="218" t="s">
        <v>119</v>
      </c>
      <c r="E5" s="224"/>
      <c r="F5" s="224"/>
      <c r="G5" s="224"/>
      <c r="H5" s="219"/>
    </row>
    <row r="6" spans="1:8" ht="16.5" customHeight="1" thickBot="1" x14ac:dyDescent="0.3">
      <c r="A6" s="220"/>
      <c r="B6" s="221"/>
      <c r="C6" s="9" t="s">
        <v>25</v>
      </c>
      <c r="D6" s="222" t="s">
        <v>120</v>
      </c>
      <c r="E6" s="225"/>
      <c r="F6" s="225"/>
      <c r="G6" s="225"/>
      <c r="H6" s="223"/>
    </row>
    <row r="7" spans="1:8" ht="16.5" thickBot="1" x14ac:dyDescent="0.3">
      <c r="A7" s="222"/>
      <c r="B7" s="223"/>
      <c r="C7" s="10"/>
      <c r="D7" s="11" t="s">
        <v>164</v>
      </c>
      <c r="E7" s="48" t="s">
        <v>165</v>
      </c>
      <c r="F7" s="48" t="s">
        <v>166</v>
      </c>
      <c r="G7" s="48" t="s">
        <v>167</v>
      </c>
      <c r="H7" s="48" t="s">
        <v>168</v>
      </c>
    </row>
    <row r="8" spans="1:8" ht="16.5" thickBot="1" x14ac:dyDescent="0.3">
      <c r="A8" s="229">
        <v>1</v>
      </c>
      <c r="B8" s="230"/>
      <c r="C8" s="11">
        <v>2</v>
      </c>
      <c r="D8" s="11">
        <v>3</v>
      </c>
      <c r="E8" s="48">
        <v>4</v>
      </c>
      <c r="F8" s="48">
        <v>5</v>
      </c>
      <c r="G8" s="48">
        <v>6</v>
      </c>
      <c r="H8" s="48">
        <v>7</v>
      </c>
    </row>
    <row r="9" spans="1:8" ht="16.5" thickBot="1" x14ac:dyDescent="0.3">
      <c r="A9" s="231" t="s">
        <v>158</v>
      </c>
      <c r="B9" s="232"/>
      <c r="C9" s="30">
        <f>SUM(D9:H9)</f>
        <v>2440896.3477499997</v>
      </c>
      <c r="D9" s="30">
        <f>SUM(D11:D14)</f>
        <v>475253.98264000006</v>
      </c>
      <c r="E9" s="30">
        <f t="shared" ref="E9:H9" si="0">SUM(E11:E14)</f>
        <v>495265.15662999992</v>
      </c>
      <c r="F9" s="30">
        <f t="shared" si="0"/>
        <v>482968.19273999997</v>
      </c>
      <c r="G9" s="30">
        <f t="shared" si="0"/>
        <v>485564.40898999991</v>
      </c>
      <c r="H9" s="30">
        <f t="shared" si="0"/>
        <v>501844.60674999998</v>
      </c>
    </row>
    <row r="10" spans="1:8" ht="16.5" thickBot="1" x14ac:dyDescent="0.3">
      <c r="A10" s="12"/>
      <c r="B10" s="13" t="s">
        <v>122</v>
      </c>
      <c r="C10" s="32"/>
      <c r="D10" s="33"/>
      <c r="E10" s="33"/>
      <c r="F10" s="33"/>
      <c r="G10" s="33"/>
      <c r="H10" s="33"/>
    </row>
    <row r="11" spans="1:8" ht="32.25" thickBot="1" x14ac:dyDescent="0.3">
      <c r="A11" s="14"/>
      <c r="B11" s="16" t="s">
        <v>123</v>
      </c>
      <c r="C11" s="32">
        <f t="shared" ref="C11:C14" si="1">SUM(D11:H11)</f>
        <v>864133.32708000008</v>
      </c>
      <c r="D11" s="30">
        <f>D16+D21+D26+D31+D41+D46+D36</f>
        <v>183696.74188000002</v>
      </c>
      <c r="E11" s="30">
        <f t="shared" ref="E11:H11" si="2">E16+E21+E26+E31+E41+E46+E36</f>
        <v>173482.21572999997</v>
      </c>
      <c r="F11" s="30">
        <f t="shared" si="2"/>
        <v>164990.71306999997</v>
      </c>
      <c r="G11" s="30">
        <f t="shared" si="2"/>
        <v>162841.72932000001</v>
      </c>
      <c r="H11" s="30">
        <f t="shared" si="2"/>
        <v>179121.92708000005</v>
      </c>
    </row>
    <row r="12" spans="1:8" ht="16.5" thickBot="1" x14ac:dyDescent="0.3">
      <c r="A12" s="14"/>
      <c r="B12" s="13" t="s">
        <v>124</v>
      </c>
      <c r="C12" s="32">
        <f t="shared" si="1"/>
        <v>1442676.2329799999</v>
      </c>
      <c r="D12" s="30">
        <f t="shared" ref="D12:H14" si="3">D17+D22+D27+D32+D42+D47+D37</f>
        <v>270058.36707000004</v>
      </c>
      <c r="E12" s="30">
        <f t="shared" si="3"/>
        <v>293224.18790000002</v>
      </c>
      <c r="F12" s="30">
        <f t="shared" si="3"/>
        <v>290101.09266999998</v>
      </c>
      <c r="G12" s="30">
        <f t="shared" si="3"/>
        <v>294646.29266999994</v>
      </c>
      <c r="H12" s="30">
        <f t="shared" si="3"/>
        <v>294646.29266999994</v>
      </c>
    </row>
    <row r="13" spans="1:8" ht="16.5" thickBot="1" x14ac:dyDescent="0.3">
      <c r="A13" s="14"/>
      <c r="B13" s="13" t="s">
        <v>125</v>
      </c>
      <c r="C13" s="32">
        <f t="shared" si="1"/>
        <v>76324.387690000003</v>
      </c>
      <c r="D13" s="30">
        <f t="shared" si="3"/>
        <v>8973.6736899999996</v>
      </c>
      <c r="E13" s="30">
        <f t="shared" si="3"/>
        <v>16636.953000000001</v>
      </c>
      <c r="F13" s="30">
        <f t="shared" si="3"/>
        <v>16904.587</v>
      </c>
      <c r="G13" s="30">
        <f t="shared" si="3"/>
        <v>16904.587</v>
      </c>
      <c r="H13" s="30">
        <f t="shared" si="3"/>
        <v>16904.587</v>
      </c>
    </row>
    <row r="14" spans="1:8" ht="16.5" thickBot="1" x14ac:dyDescent="0.3">
      <c r="A14" s="14"/>
      <c r="B14" s="13" t="s">
        <v>126</v>
      </c>
      <c r="C14" s="32">
        <f t="shared" si="1"/>
        <v>57762.400000000009</v>
      </c>
      <c r="D14" s="30">
        <f t="shared" si="3"/>
        <v>12525.2</v>
      </c>
      <c r="E14" s="30">
        <f t="shared" si="3"/>
        <v>11921.8</v>
      </c>
      <c r="F14" s="30">
        <f t="shared" si="3"/>
        <v>10971.8</v>
      </c>
      <c r="G14" s="30">
        <f t="shared" si="3"/>
        <v>11171.8</v>
      </c>
      <c r="H14" s="30">
        <f t="shared" si="3"/>
        <v>11171.8</v>
      </c>
    </row>
    <row r="15" spans="1:8" ht="16.5" thickBot="1" x14ac:dyDescent="0.3">
      <c r="A15" s="14"/>
      <c r="B15" s="342" t="s">
        <v>121</v>
      </c>
      <c r="C15" s="30">
        <f>SUM(D15:H15)</f>
        <v>2186576.6153500001</v>
      </c>
      <c r="D15" s="30">
        <f>SUM(D16:D19)</f>
        <v>408073.97308000014</v>
      </c>
      <c r="E15" s="30">
        <f t="shared" ref="E15:H15" si="4">SUM(E16:E19)</f>
        <v>433772.40249999997</v>
      </c>
      <c r="F15" s="30">
        <f t="shared" si="4"/>
        <v>444797.84466999996</v>
      </c>
      <c r="G15" s="30">
        <f t="shared" si="4"/>
        <v>447024.44867000001</v>
      </c>
      <c r="H15" s="30">
        <f t="shared" si="4"/>
        <v>452907.94643000001</v>
      </c>
    </row>
    <row r="16" spans="1:8" ht="48" thickBot="1" x14ac:dyDescent="0.3">
      <c r="A16" s="25"/>
      <c r="B16" s="23" t="s">
        <v>152</v>
      </c>
      <c r="C16" s="32">
        <f t="shared" ref="C16:C19" si="5">SUM(D16:H16)</f>
        <v>735668.52867000003</v>
      </c>
      <c r="D16" s="34">
        <f>'ИФ ПП 1'!D12</f>
        <v>149276.61241000003</v>
      </c>
      <c r="E16" s="34">
        <f>'ИФ ПП 1'!E12</f>
        <v>145061.26649999997</v>
      </c>
      <c r="F16" s="34">
        <f>'ИФ ПП 1'!F12</f>
        <v>146551.64799999999</v>
      </c>
      <c r="G16" s="34">
        <f>'ИФ ПП 1'!G12</f>
        <v>144447.75200000001</v>
      </c>
      <c r="H16" s="34">
        <f>'ИФ ПП 1'!H12</f>
        <v>150331.24976000004</v>
      </c>
    </row>
    <row r="17" spans="1:8" ht="16.5" thickBot="1" x14ac:dyDescent="0.3">
      <c r="A17" s="26"/>
      <c r="B17" s="13" t="s">
        <v>124</v>
      </c>
      <c r="C17" s="32">
        <f t="shared" si="5"/>
        <v>1368746.30268</v>
      </c>
      <c r="D17" s="34">
        <f>'ИФ ПП 1'!D13</f>
        <v>248477.59267000004</v>
      </c>
      <c r="E17" s="34">
        <f>'ИФ ПП 1'!E13</f>
        <v>271075.63199999998</v>
      </c>
      <c r="F17" s="34">
        <f>'ИФ ПП 1'!F13</f>
        <v>280310.69266999996</v>
      </c>
      <c r="G17" s="34">
        <f>'ИФ ПП 1'!G13</f>
        <v>284441.19266999996</v>
      </c>
      <c r="H17" s="34">
        <f>'ИФ ПП 1'!H13</f>
        <v>284441.19266999996</v>
      </c>
    </row>
    <row r="18" spans="1:8" ht="16.5" thickBot="1" x14ac:dyDescent="0.3">
      <c r="A18" s="26"/>
      <c r="B18" s="13" t="s">
        <v>130</v>
      </c>
      <c r="C18" s="32">
        <f t="shared" si="5"/>
        <v>45429.383999999998</v>
      </c>
      <c r="D18" s="34">
        <f>'ИФ ПП 1'!D14</f>
        <v>3494.5680000000002</v>
      </c>
      <c r="E18" s="34">
        <f>'ИФ ПП 1'!E14</f>
        <v>10483.704</v>
      </c>
      <c r="F18" s="34">
        <f>'ИФ ПП 1'!F14</f>
        <v>10483.704</v>
      </c>
      <c r="G18" s="34">
        <f>'ИФ ПП 1'!G14</f>
        <v>10483.704</v>
      </c>
      <c r="H18" s="34">
        <f>'ИФ ПП 1'!H14</f>
        <v>10483.704</v>
      </c>
    </row>
    <row r="19" spans="1:8" ht="16.5" thickBot="1" x14ac:dyDescent="0.3">
      <c r="A19" s="26"/>
      <c r="B19" s="13" t="s">
        <v>131</v>
      </c>
      <c r="C19" s="32">
        <f t="shared" si="5"/>
        <v>36732.400000000001</v>
      </c>
      <c r="D19" s="34">
        <f>'ИФ ПП 1'!D15</f>
        <v>6825.2</v>
      </c>
      <c r="E19" s="34">
        <f>'ИФ ПП 1'!E15</f>
        <v>7151.8</v>
      </c>
      <c r="F19" s="34">
        <f>'ИФ ПП 1'!F15</f>
        <v>7451.8</v>
      </c>
      <c r="G19" s="34">
        <f>'ИФ ПП 1'!G15</f>
        <v>7651.8</v>
      </c>
      <c r="H19" s="34">
        <f>'ИФ ПП 1'!H15</f>
        <v>7651.8</v>
      </c>
    </row>
    <row r="20" spans="1:8" ht="48" thickBot="1" x14ac:dyDescent="0.3">
      <c r="A20" s="12"/>
      <c r="B20" s="13" t="s">
        <v>142</v>
      </c>
      <c r="C20" s="30">
        <f>SUM(D20:H20)</f>
        <v>66067.482969999997</v>
      </c>
      <c r="D20" s="30">
        <f>SUM(D21:D24)</f>
        <v>32375.582270000003</v>
      </c>
      <c r="E20" s="30">
        <f t="shared" ref="E20:H20" si="6">SUM(E21:E24)</f>
        <v>23551.900699999998</v>
      </c>
      <c r="F20" s="30">
        <f t="shared" si="6"/>
        <v>0</v>
      </c>
      <c r="G20" s="30">
        <f t="shared" si="6"/>
        <v>0</v>
      </c>
      <c r="H20" s="30">
        <f t="shared" si="6"/>
        <v>10140</v>
      </c>
    </row>
    <row r="21" spans="1:8" ht="32.25" thickBot="1" x14ac:dyDescent="0.3">
      <c r="A21" s="16"/>
      <c r="B21" s="23" t="s">
        <v>152</v>
      </c>
      <c r="C21" s="32">
        <f t="shared" ref="C21:C24" si="7">SUM(D21:H21)</f>
        <v>35958.442410000003</v>
      </c>
      <c r="D21" s="34">
        <f>'ПОМ ПП 2'!F591</f>
        <v>16182.397610000002</v>
      </c>
      <c r="E21" s="34">
        <f>'ПОМ ПП 2'!G591</f>
        <v>9636.0447999999997</v>
      </c>
      <c r="F21" s="34">
        <f>'ПОМ ПП 2'!H591</f>
        <v>0</v>
      </c>
      <c r="G21" s="34">
        <f>'ПОМ ПП 2'!I591</f>
        <v>0</v>
      </c>
      <c r="H21" s="34">
        <f>'ПОМ ПП 2'!J591</f>
        <v>10140</v>
      </c>
    </row>
    <row r="22" spans="1:8" ht="16.5" thickBot="1" x14ac:dyDescent="0.3">
      <c r="A22" s="16"/>
      <c r="B22" s="13" t="s">
        <v>124</v>
      </c>
      <c r="C22" s="32">
        <f t="shared" si="7"/>
        <v>25822.630300000001</v>
      </c>
      <c r="D22" s="34">
        <f>'ПОМ ПП 2'!F592</f>
        <v>13156.7744</v>
      </c>
      <c r="E22" s="34">
        <f>'ПОМ ПП 2'!G592</f>
        <v>12665.8559</v>
      </c>
      <c r="F22" s="34">
        <f>'ПОМ ПП 2'!H592</f>
        <v>0</v>
      </c>
      <c r="G22" s="34">
        <f>'ПОМ ПП 2'!I592</f>
        <v>0</v>
      </c>
      <c r="H22" s="34">
        <f>'ПОМ ПП 2'!J592</f>
        <v>0</v>
      </c>
    </row>
    <row r="23" spans="1:8" ht="16.5" thickBot="1" x14ac:dyDescent="0.3">
      <c r="A23" s="16"/>
      <c r="B23" s="13" t="s">
        <v>130</v>
      </c>
      <c r="C23" s="32">
        <f t="shared" si="7"/>
        <v>3036.4102600000001</v>
      </c>
      <c r="D23" s="34">
        <f>'ПОМ ПП 2'!F593</f>
        <v>3036.4102600000001</v>
      </c>
      <c r="E23" s="34">
        <f>'ПОМ ПП 2'!G593</f>
        <v>0</v>
      </c>
      <c r="F23" s="34">
        <f>'ПОМ ПП 2'!H593</f>
        <v>0</v>
      </c>
      <c r="G23" s="34">
        <f>'ПОМ ПП 2'!I593</f>
        <v>0</v>
      </c>
      <c r="H23" s="34">
        <f>'ПОМ ПП 2'!J593</f>
        <v>0</v>
      </c>
    </row>
    <row r="24" spans="1:8" ht="16.5" thickBot="1" x14ac:dyDescent="0.3">
      <c r="A24" s="16"/>
      <c r="B24" s="13" t="s">
        <v>131</v>
      </c>
      <c r="C24" s="32">
        <f t="shared" si="7"/>
        <v>1250</v>
      </c>
      <c r="D24" s="34">
        <f>'ПОМ ПП 2'!F594</f>
        <v>0</v>
      </c>
      <c r="E24" s="34">
        <f>'ПОМ ПП 2'!G594</f>
        <v>1250</v>
      </c>
      <c r="F24" s="34">
        <f>'ПОМ ПП 2'!H594</f>
        <v>0</v>
      </c>
      <c r="G24" s="34">
        <f>'ПОМ ПП 2'!I594</f>
        <v>0</v>
      </c>
      <c r="H24" s="34">
        <f>'ПОМ ПП 2'!J594</f>
        <v>0</v>
      </c>
    </row>
    <row r="25" spans="1:8" ht="63.75" thickBot="1" x14ac:dyDescent="0.3">
      <c r="A25" s="14"/>
      <c r="B25" s="13" t="s">
        <v>156</v>
      </c>
      <c r="C25" s="30">
        <f>SUM(D25:H25)</f>
        <v>4817</v>
      </c>
      <c r="D25" s="30">
        <f>SUM(D26:D29)</f>
        <v>1012.5</v>
      </c>
      <c r="E25" s="30">
        <f t="shared" ref="E25:H25" si="8">SUM(E26:E29)</f>
        <v>981.5</v>
      </c>
      <c r="F25" s="30">
        <f t="shared" si="8"/>
        <v>981.5</v>
      </c>
      <c r="G25" s="30">
        <f t="shared" si="8"/>
        <v>981.5</v>
      </c>
      <c r="H25" s="30">
        <f t="shared" si="8"/>
        <v>860</v>
      </c>
    </row>
    <row r="26" spans="1:8" ht="32.25" thickBot="1" x14ac:dyDescent="0.3">
      <c r="A26" s="25"/>
      <c r="B26" s="23" t="s">
        <v>152</v>
      </c>
      <c r="C26" s="32">
        <f t="shared" ref="C26:C29" si="9">SUM(D26:H26)</f>
        <v>4817</v>
      </c>
      <c r="D26" s="34">
        <v>1012.5</v>
      </c>
      <c r="E26" s="34">
        <v>981.5</v>
      </c>
      <c r="F26" s="34">
        <v>981.5</v>
      </c>
      <c r="G26" s="34">
        <v>981.5</v>
      </c>
      <c r="H26" s="34">
        <v>860</v>
      </c>
    </row>
    <row r="27" spans="1:8" ht="16.5" thickBot="1" x14ac:dyDescent="0.3">
      <c r="A27" s="26"/>
      <c r="B27" s="13" t="s">
        <v>124</v>
      </c>
      <c r="C27" s="32">
        <f t="shared" si="9"/>
        <v>0</v>
      </c>
      <c r="D27" s="34">
        <v>0</v>
      </c>
      <c r="E27" s="34">
        <v>0</v>
      </c>
      <c r="F27" s="34">
        <v>0</v>
      </c>
      <c r="G27" s="34">
        <v>0</v>
      </c>
      <c r="H27" s="34">
        <v>0</v>
      </c>
    </row>
    <row r="28" spans="1:8" ht="16.5" thickBot="1" x14ac:dyDescent="0.3">
      <c r="A28" s="26"/>
      <c r="B28" s="13" t="s">
        <v>130</v>
      </c>
      <c r="C28" s="32">
        <f t="shared" si="9"/>
        <v>0</v>
      </c>
      <c r="D28" s="34">
        <v>0</v>
      </c>
      <c r="E28" s="34">
        <v>0</v>
      </c>
      <c r="F28" s="34">
        <v>0</v>
      </c>
      <c r="G28" s="34">
        <v>0</v>
      </c>
      <c r="H28" s="34">
        <v>0</v>
      </c>
    </row>
    <row r="29" spans="1:8" ht="16.5" thickBot="1" x14ac:dyDescent="0.3">
      <c r="A29" s="26"/>
      <c r="B29" s="13" t="s">
        <v>131</v>
      </c>
      <c r="C29" s="32">
        <f t="shared" si="9"/>
        <v>0</v>
      </c>
      <c r="D29" s="34">
        <v>0</v>
      </c>
      <c r="E29" s="34">
        <v>0</v>
      </c>
      <c r="F29" s="34">
        <v>0</v>
      </c>
      <c r="G29" s="34">
        <v>0</v>
      </c>
      <c r="H29" s="34">
        <v>0</v>
      </c>
    </row>
    <row r="30" spans="1:8" ht="63.75" thickBot="1" x14ac:dyDescent="0.3">
      <c r="A30" s="12"/>
      <c r="B30" s="13" t="s">
        <v>148</v>
      </c>
      <c r="C30" s="30">
        <f>SUM(D30:H30)</f>
        <v>22666.699999999997</v>
      </c>
      <c r="D30" s="30">
        <f>SUM(D31:D34)</f>
        <v>4258</v>
      </c>
      <c r="E30" s="30">
        <f t="shared" ref="E30:H30" si="10">SUM(E31:E34)</f>
        <v>4570</v>
      </c>
      <c r="F30" s="30">
        <f t="shared" si="10"/>
        <v>4596.5</v>
      </c>
      <c r="G30" s="30">
        <f t="shared" si="10"/>
        <v>4621.1000000000004</v>
      </c>
      <c r="H30" s="30">
        <f t="shared" si="10"/>
        <v>4621.1000000000004</v>
      </c>
    </row>
    <row r="31" spans="1:8" ht="32.25" thickBot="1" x14ac:dyDescent="0.3">
      <c r="A31" s="16"/>
      <c r="B31" s="23" t="s">
        <v>152</v>
      </c>
      <c r="C31" s="32">
        <f t="shared" ref="C31:C34" si="11">SUM(D31:H31)</f>
        <v>13721.300000000001</v>
      </c>
      <c r="D31" s="34">
        <v>2580.8000000000002</v>
      </c>
      <c r="E31" s="34">
        <v>2783.5</v>
      </c>
      <c r="F31" s="34">
        <v>2784.8</v>
      </c>
      <c r="G31" s="34">
        <v>2786.1</v>
      </c>
      <c r="H31" s="34">
        <v>2786.1</v>
      </c>
    </row>
    <row r="32" spans="1:8" ht="16.5" thickBot="1" x14ac:dyDescent="0.3">
      <c r="A32" s="16"/>
      <c r="B32" s="13" t="s">
        <v>124</v>
      </c>
      <c r="C32" s="32">
        <f t="shared" si="11"/>
        <v>8945.4</v>
      </c>
      <c r="D32" s="34">
        <v>1677.2</v>
      </c>
      <c r="E32" s="34">
        <v>1786.5</v>
      </c>
      <c r="F32" s="34">
        <v>1811.7</v>
      </c>
      <c r="G32" s="34">
        <v>1835</v>
      </c>
      <c r="H32" s="34">
        <v>1835</v>
      </c>
    </row>
    <row r="33" spans="1:8" ht="16.5" thickBot="1" x14ac:dyDescent="0.3">
      <c r="A33" s="16"/>
      <c r="B33" s="13" t="s">
        <v>130</v>
      </c>
      <c r="C33" s="32">
        <f t="shared" si="11"/>
        <v>0</v>
      </c>
      <c r="D33" s="34">
        <v>0</v>
      </c>
      <c r="E33" s="34">
        <v>0</v>
      </c>
      <c r="F33" s="34">
        <v>0</v>
      </c>
      <c r="G33" s="34">
        <v>0</v>
      </c>
      <c r="H33" s="34">
        <v>0</v>
      </c>
    </row>
    <row r="34" spans="1:8" ht="16.5" thickBot="1" x14ac:dyDescent="0.3">
      <c r="A34" s="16"/>
      <c r="B34" s="13" t="s">
        <v>131</v>
      </c>
      <c r="C34" s="32">
        <f t="shared" si="11"/>
        <v>0</v>
      </c>
      <c r="D34" s="34">
        <v>0</v>
      </c>
      <c r="E34" s="34">
        <v>0</v>
      </c>
      <c r="F34" s="34">
        <v>0</v>
      </c>
      <c r="G34" s="34">
        <v>0</v>
      </c>
      <c r="H34" s="34">
        <v>0</v>
      </c>
    </row>
    <row r="35" spans="1:8" ht="63.75" thickBot="1" x14ac:dyDescent="0.3">
      <c r="A35" s="12"/>
      <c r="B35" s="13" t="s">
        <v>319</v>
      </c>
      <c r="C35" s="30">
        <f>SUM(D35:H35)</f>
        <v>6434.5410000000002</v>
      </c>
      <c r="D35" s="30">
        <f>SUM(D36:D39)</f>
        <v>0</v>
      </c>
      <c r="E35" s="30">
        <f t="shared" ref="E35:H35" si="12">SUM(E36:E39)</f>
        <v>830.20500000000004</v>
      </c>
      <c r="F35" s="30">
        <f t="shared" si="12"/>
        <v>1868.1119999999999</v>
      </c>
      <c r="G35" s="30">
        <f t="shared" si="12"/>
        <v>1868.1119999999999</v>
      </c>
      <c r="H35" s="30">
        <f t="shared" si="12"/>
        <v>1868.1119999999999</v>
      </c>
    </row>
    <row r="36" spans="1:8" ht="32.25" thickBot="1" x14ac:dyDescent="0.3">
      <c r="A36" s="16"/>
      <c r="B36" s="105" t="s">
        <v>152</v>
      </c>
      <c r="C36" s="32">
        <f t="shared" ref="C36:C39" si="13">SUM(D36:H36)</f>
        <v>6434.5410000000002</v>
      </c>
      <c r="D36" s="34">
        <f>'ИФ ПП 5'!D12</f>
        <v>0</v>
      </c>
      <c r="E36" s="34">
        <f>'ИФ ПП 5'!E12</f>
        <v>830.20500000000004</v>
      </c>
      <c r="F36" s="34">
        <f>'ИФ ПП 5'!F12</f>
        <v>1868.1119999999999</v>
      </c>
      <c r="G36" s="34">
        <f>'ИФ ПП 5'!G12</f>
        <v>1868.1119999999999</v>
      </c>
      <c r="H36" s="34">
        <f>'ИФ ПП 5'!H12</f>
        <v>1868.1119999999999</v>
      </c>
    </row>
    <row r="37" spans="1:8" ht="16.5" thickBot="1" x14ac:dyDescent="0.3">
      <c r="A37" s="16"/>
      <c r="B37" s="13" t="s">
        <v>124</v>
      </c>
      <c r="C37" s="32">
        <f t="shared" si="13"/>
        <v>0</v>
      </c>
      <c r="D37" s="34">
        <f>'ИФ ПП 5'!D13</f>
        <v>0</v>
      </c>
      <c r="E37" s="34">
        <f>'ИФ ПП 5'!E13</f>
        <v>0</v>
      </c>
      <c r="F37" s="34">
        <f>'ИФ ПП 5'!F13</f>
        <v>0</v>
      </c>
      <c r="G37" s="34">
        <f>'ИФ ПП 5'!G13</f>
        <v>0</v>
      </c>
      <c r="H37" s="34">
        <f>'ИФ ПП 5'!H13</f>
        <v>0</v>
      </c>
    </row>
    <row r="38" spans="1:8" ht="16.5" thickBot="1" x14ac:dyDescent="0.3">
      <c r="A38" s="16"/>
      <c r="B38" s="13" t="s">
        <v>130</v>
      </c>
      <c r="C38" s="32">
        <f t="shared" si="13"/>
        <v>0</v>
      </c>
      <c r="D38" s="34">
        <f>'ИФ ПП 5'!D14</f>
        <v>0</v>
      </c>
      <c r="E38" s="34">
        <f>'ИФ ПП 5'!E14</f>
        <v>0</v>
      </c>
      <c r="F38" s="34">
        <f>'ИФ ПП 5'!F14</f>
        <v>0</v>
      </c>
      <c r="G38" s="34">
        <f>'ИФ ПП 5'!G14</f>
        <v>0</v>
      </c>
      <c r="H38" s="34">
        <f>'ИФ ПП 5'!H14</f>
        <v>0</v>
      </c>
    </row>
    <row r="39" spans="1:8" ht="16.5" thickBot="1" x14ac:dyDescent="0.3">
      <c r="A39" s="16"/>
      <c r="B39" s="13" t="s">
        <v>131</v>
      </c>
      <c r="C39" s="32">
        <f t="shared" si="13"/>
        <v>0</v>
      </c>
      <c r="D39" s="34">
        <f>'ИФ ПП 5'!D15</f>
        <v>0</v>
      </c>
      <c r="E39" s="34">
        <f>'ИФ ПП 5'!E15</f>
        <v>0</v>
      </c>
      <c r="F39" s="34">
        <f>'ИФ ПП 5'!F15</f>
        <v>0</v>
      </c>
      <c r="G39" s="34">
        <f>'ИФ ПП 5'!G15</f>
        <v>0</v>
      </c>
      <c r="H39" s="34">
        <f>'ИФ ПП 5'!H15</f>
        <v>0</v>
      </c>
    </row>
    <row r="40" spans="1:8" ht="32.25" thickBot="1" x14ac:dyDescent="0.3">
      <c r="A40" s="12"/>
      <c r="B40" s="13" t="s">
        <v>150</v>
      </c>
      <c r="C40" s="30">
        <f>SUM(D40:H40)</f>
        <v>104248.03293999999</v>
      </c>
      <c r="D40" s="30">
        <f>SUM(D41:D44)</f>
        <v>18958.690000000002</v>
      </c>
      <c r="E40" s="30">
        <f t="shared" ref="E40:H40" si="14">SUM(E41:E44)</f>
        <v>20841.610229999998</v>
      </c>
      <c r="F40" s="30">
        <f t="shared" si="14"/>
        <v>21219.236069999999</v>
      </c>
      <c r="G40" s="30">
        <f t="shared" si="14"/>
        <v>21614.248319999999</v>
      </c>
      <c r="H40" s="30">
        <f t="shared" si="14"/>
        <v>21614.248319999999</v>
      </c>
    </row>
    <row r="41" spans="1:8" ht="32.25" thickBot="1" x14ac:dyDescent="0.3">
      <c r="A41" s="16"/>
      <c r="B41" s="23" t="s">
        <v>152</v>
      </c>
      <c r="C41" s="32">
        <f t="shared" ref="C41:C44" si="15">SUM(D41:H41)</f>
        <v>17447.539510000002</v>
      </c>
      <c r="D41" s="34">
        <f>'ИФ ВЦП'!D12</f>
        <v>4069.1945700000006</v>
      </c>
      <c r="E41" s="34">
        <f>'ИФ ВЦП'!E12</f>
        <v>3472.1612300000002</v>
      </c>
      <c r="F41" s="34">
        <f>'ИФ ВЦП'!F12</f>
        <v>3299.6530699999998</v>
      </c>
      <c r="G41" s="34">
        <f>'ИФ ВЦП'!G12</f>
        <v>3303.26532</v>
      </c>
      <c r="H41" s="34">
        <f>'ИФ ВЦП'!H12</f>
        <v>3303.26532</v>
      </c>
    </row>
    <row r="42" spans="1:8" ht="16.5" thickBot="1" x14ac:dyDescent="0.3">
      <c r="A42" s="16"/>
      <c r="B42" s="13" t="s">
        <v>124</v>
      </c>
      <c r="C42" s="32">
        <f t="shared" si="15"/>
        <v>39161.9</v>
      </c>
      <c r="D42" s="34">
        <f>'ИФ ВЦП'!D13</f>
        <v>6746.8000000000011</v>
      </c>
      <c r="E42" s="34">
        <f>'ИФ ВЦП'!E13</f>
        <v>7696.2000000000007</v>
      </c>
      <c r="F42" s="34">
        <f>'ИФ ВЦП'!F13</f>
        <v>7978.7</v>
      </c>
      <c r="G42" s="34">
        <f>'ИФ ВЦП'!G13</f>
        <v>8370.1</v>
      </c>
      <c r="H42" s="34">
        <f>'ИФ ВЦП'!H13</f>
        <v>8370.1</v>
      </c>
    </row>
    <row r="43" spans="1:8" ht="16.5" thickBot="1" x14ac:dyDescent="0.3">
      <c r="A43" s="16"/>
      <c r="B43" s="13" t="s">
        <v>130</v>
      </c>
      <c r="C43" s="32">
        <f t="shared" si="15"/>
        <v>27858.593430000001</v>
      </c>
      <c r="D43" s="34">
        <f>'ИФ ВЦП'!D14</f>
        <v>2442.6954299999998</v>
      </c>
      <c r="E43" s="34">
        <f>'ИФ ВЦП'!E14</f>
        <v>6153.2489999999998</v>
      </c>
      <c r="F43" s="34">
        <f>'ИФ ВЦП'!F14</f>
        <v>6420.8829999999998</v>
      </c>
      <c r="G43" s="34">
        <f>'ИФ ВЦП'!G14</f>
        <v>6420.8829999999998</v>
      </c>
      <c r="H43" s="34">
        <f>'ИФ ВЦП'!H14</f>
        <v>6420.8829999999998</v>
      </c>
    </row>
    <row r="44" spans="1:8" ht="16.5" thickBot="1" x14ac:dyDescent="0.3">
      <c r="A44" s="16"/>
      <c r="B44" s="13" t="s">
        <v>131</v>
      </c>
      <c r="C44" s="32">
        <f t="shared" si="15"/>
        <v>19780</v>
      </c>
      <c r="D44" s="34">
        <f>'ИФ ВЦП'!D15</f>
        <v>5700</v>
      </c>
      <c r="E44" s="34">
        <f>'ИФ ВЦП'!E15</f>
        <v>3520</v>
      </c>
      <c r="F44" s="34">
        <f>'ИФ ВЦП'!F15</f>
        <v>3520</v>
      </c>
      <c r="G44" s="34">
        <f>'ИФ ВЦП'!G15</f>
        <v>3520</v>
      </c>
      <c r="H44" s="34">
        <f>'ИФ ВЦП'!H15</f>
        <v>3520</v>
      </c>
    </row>
    <row r="45" spans="1:8" ht="63.75" thickBot="1" x14ac:dyDescent="0.3">
      <c r="A45" s="12"/>
      <c r="B45" s="13" t="s">
        <v>157</v>
      </c>
      <c r="C45" s="30">
        <f>SUM(D45:H45)</f>
        <v>50085.975489999997</v>
      </c>
      <c r="D45" s="30">
        <f>SUM(D46:D49)</f>
        <v>10575.237289999999</v>
      </c>
      <c r="E45" s="30">
        <f t="shared" ref="E45:H45" si="16">SUM(E46:E49)</f>
        <v>10717.538199999999</v>
      </c>
      <c r="F45" s="30">
        <f t="shared" si="16"/>
        <v>9505</v>
      </c>
      <c r="G45" s="30">
        <f t="shared" si="16"/>
        <v>9455</v>
      </c>
      <c r="H45" s="30">
        <f t="shared" si="16"/>
        <v>9833.2000000000007</v>
      </c>
    </row>
    <row r="46" spans="1:8" ht="32.25" thickBot="1" x14ac:dyDescent="0.3">
      <c r="A46" s="16"/>
      <c r="B46" s="23" t="s">
        <v>152</v>
      </c>
      <c r="C46" s="32">
        <f t="shared" ref="C46:C49" si="17">SUM(D46:H46)</f>
        <v>50085.975489999997</v>
      </c>
      <c r="D46" s="34">
        <f>'ПОМ АВЦП'!F17</f>
        <v>10575.237289999999</v>
      </c>
      <c r="E46" s="34">
        <f>'ПОМ АВЦП'!G17</f>
        <v>10717.538199999999</v>
      </c>
      <c r="F46" s="34">
        <f>'ПОМ АВЦП'!H17</f>
        <v>9505</v>
      </c>
      <c r="G46" s="34">
        <f>'ПОМ АВЦП'!I17</f>
        <v>9455</v>
      </c>
      <c r="H46" s="34">
        <f>'ПОМ АВЦП'!J17</f>
        <v>9833.2000000000007</v>
      </c>
    </row>
    <row r="47" spans="1:8" ht="16.5" thickBot="1" x14ac:dyDescent="0.3">
      <c r="A47" s="16"/>
      <c r="B47" s="13" t="s">
        <v>124</v>
      </c>
      <c r="C47" s="32">
        <f t="shared" si="17"/>
        <v>0</v>
      </c>
      <c r="D47" s="34">
        <f>'ПОМ АВЦП'!F18</f>
        <v>0</v>
      </c>
      <c r="E47" s="34">
        <f>'ПОМ АВЦП'!G18</f>
        <v>0</v>
      </c>
      <c r="F47" s="34">
        <f>'ПОМ АВЦП'!H18</f>
        <v>0</v>
      </c>
      <c r="G47" s="34">
        <f>'ПОМ АВЦП'!I18</f>
        <v>0</v>
      </c>
      <c r="H47" s="34">
        <f>'ПОМ АВЦП'!J18</f>
        <v>0</v>
      </c>
    </row>
    <row r="48" spans="1:8" ht="16.5" thickBot="1" x14ac:dyDescent="0.3">
      <c r="A48" s="16"/>
      <c r="B48" s="13" t="s">
        <v>130</v>
      </c>
      <c r="C48" s="32">
        <f t="shared" si="17"/>
        <v>0</v>
      </c>
      <c r="D48" s="34">
        <f>'ПОМ АВЦП'!F19</f>
        <v>0</v>
      </c>
      <c r="E48" s="34">
        <f>'ПОМ АВЦП'!G19</f>
        <v>0</v>
      </c>
      <c r="F48" s="34">
        <f>'ПОМ АВЦП'!H19</f>
        <v>0</v>
      </c>
      <c r="G48" s="34">
        <f>'ПОМ АВЦП'!I19</f>
        <v>0</v>
      </c>
      <c r="H48" s="34">
        <f>'ПОМ АВЦП'!J19</f>
        <v>0</v>
      </c>
    </row>
    <row r="49" spans="1:8" ht="16.5" thickBot="1" x14ac:dyDescent="0.3">
      <c r="A49" s="16"/>
      <c r="B49" s="13" t="s">
        <v>131</v>
      </c>
      <c r="C49" s="32">
        <f t="shared" si="17"/>
        <v>0</v>
      </c>
      <c r="D49" s="34">
        <f>'ПОМ АВЦП'!F20</f>
        <v>0</v>
      </c>
      <c r="E49" s="34">
        <f>'ПОМ АВЦП'!G20</f>
        <v>0</v>
      </c>
      <c r="F49" s="34">
        <f>'ПОМ АВЦП'!H20</f>
        <v>0</v>
      </c>
      <c r="G49" s="34">
        <f>'ПОМ АВЦП'!I20</f>
        <v>0</v>
      </c>
      <c r="H49" s="34">
        <f>'ПОМ АВЦП'!J20</f>
        <v>0</v>
      </c>
    </row>
    <row r="51" spans="1:8" s="27" customFormat="1" ht="30.75" customHeight="1" x14ac:dyDescent="0.2">
      <c r="A51" s="312" t="s">
        <v>138</v>
      </c>
      <c r="B51" s="312"/>
      <c r="C51" s="312"/>
      <c r="D51" s="312"/>
      <c r="E51" s="312"/>
      <c r="F51" s="312"/>
      <c r="G51" s="312"/>
      <c r="H51" s="312"/>
    </row>
    <row r="52" spans="1:8" s="27" customFormat="1" ht="12.75" x14ac:dyDescent="0.2">
      <c r="A52" s="312" t="s">
        <v>139</v>
      </c>
      <c r="B52" s="312"/>
      <c r="C52" s="312"/>
      <c r="D52" s="312"/>
      <c r="E52" s="312"/>
      <c r="F52" s="312"/>
      <c r="G52" s="312"/>
      <c r="H52" s="312"/>
    </row>
    <row r="53" spans="1:8" s="27" customFormat="1" ht="41.25" customHeight="1" x14ac:dyDescent="0.2">
      <c r="A53" s="312" t="s">
        <v>140</v>
      </c>
      <c r="B53" s="312"/>
      <c r="C53" s="312"/>
      <c r="D53" s="312"/>
      <c r="E53" s="312"/>
      <c r="F53" s="312"/>
      <c r="G53" s="312"/>
      <c r="H53" s="312"/>
    </row>
  </sheetData>
  <mergeCells count="11">
    <mergeCell ref="A8:B8"/>
    <mergeCell ref="A9:B9"/>
    <mergeCell ref="A51:H51"/>
    <mergeCell ref="A52:H52"/>
    <mergeCell ref="A53:H53"/>
    <mergeCell ref="D1:H1"/>
    <mergeCell ref="A2:H2"/>
    <mergeCell ref="A5:B7"/>
    <mergeCell ref="D5:H5"/>
    <mergeCell ref="D6:H6"/>
    <mergeCell ref="A4:H4"/>
  </mergeCells>
  <hyperlinks>
    <hyperlink ref="A51" location="_ftnref1" display="_ftnref1"/>
    <hyperlink ref="A52" location="_ftnref2" display="_ftnref2"/>
    <hyperlink ref="A53" location="_ftnref3" display="_ftnref3"/>
  </hyperlinks>
  <pageMargins left="0.70866141732283472" right="0.70866141732283472" top="0.74803149606299213" bottom="0.74803149606299213" header="0.31496062992125984" footer="0.31496062992125984"/>
  <pageSetup paperSize="9" scale="75" firstPageNumber="32" fitToHeight="0" orientation="portrait" useFirstPageNumber="1" r:id="rId1"/>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15"/>
  <sheetViews>
    <sheetView view="pageLayout" workbookViewId="0">
      <selection activeCell="G24" sqref="G24"/>
    </sheetView>
  </sheetViews>
  <sheetFormatPr defaultRowHeight="15" x14ac:dyDescent="0.25"/>
  <cols>
    <col min="2" max="5" width="14.42578125" customWidth="1"/>
  </cols>
  <sheetData>
    <row r="4" spans="2:5" x14ac:dyDescent="0.25">
      <c r="B4" s="2"/>
      <c r="C4" s="2"/>
      <c r="D4" s="2"/>
    </row>
    <row r="5" spans="2:5" x14ac:dyDescent="0.25">
      <c r="B5" s="2"/>
      <c r="C5" s="2"/>
      <c r="D5" s="2"/>
    </row>
    <row r="6" spans="2:5" x14ac:dyDescent="0.25">
      <c r="B6" s="2"/>
      <c r="C6" s="2"/>
      <c r="D6" s="2"/>
    </row>
    <row r="7" spans="2:5" x14ac:dyDescent="0.25">
      <c r="B7" s="2"/>
      <c r="C7" s="2"/>
      <c r="D7" s="2"/>
    </row>
    <row r="8" spans="2:5" x14ac:dyDescent="0.25">
      <c r="B8" s="2"/>
      <c r="C8" s="2"/>
      <c r="D8" s="2"/>
    </row>
    <row r="12" spans="2:5" x14ac:dyDescent="0.25">
      <c r="B12" s="3"/>
      <c r="C12" s="3"/>
      <c r="D12" s="3"/>
      <c r="E12" s="3"/>
    </row>
    <row r="13" spans="2:5" x14ac:dyDescent="0.25">
      <c r="B13" s="3"/>
      <c r="C13" s="3"/>
      <c r="D13" s="3"/>
      <c r="E13" s="3"/>
    </row>
    <row r="14" spans="2:5" x14ac:dyDescent="0.25">
      <c r="B14" s="3"/>
      <c r="C14" s="3"/>
      <c r="D14" s="3"/>
      <c r="E14" s="3"/>
    </row>
    <row r="15" spans="2:5" x14ac:dyDescent="0.25">
      <c r="B15" s="3"/>
      <c r="C15" s="3"/>
      <c r="D15" s="3"/>
      <c r="E15" s="3"/>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workbookViewId="0"/>
  </sheetViews>
  <sheetFormatPr defaultRowHeight="15" x14ac:dyDescent="0.25"/>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tabSelected="1" view="pageBreakPreview" zoomScaleNormal="100" zoomScaleSheetLayoutView="100" workbookViewId="0">
      <selection activeCell="J15" sqref="J15"/>
    </sheetView>
  </sheetViews>
  <sheetFormatPr defaultRowHeight="15" x14ac:dyDescent="0.25"/>
  <cols>
    <col min="1" max="1" width="3" customWidth="1"/>
    <col min="2" max="2" width="41.85546875" customWidth="1"/>
    <col min="3" max="3" width="14.28515625" bestFit="1" customWidth="1"/>
    <col min="4" max="4" width="13.7109375" bestFit="1" customWidth="1"/>
    <col min="5" max="6" width="13.7109375" customWidth="1"/>
    <col min="7" max="8" width="13.7109375" bestFit="1" customWidth="1"/>
    <col min="10" max="10" width="16.7109375" customWidth="1"/>
    <col min="11" max="11" width="13.5703125" customWidth="1"/>
    <col min="12" max="12" width="16" customWidth="1"/>
  </cols>
  <sheetData>
    <row r="1" spans="1:12" x14ac:dyDescent="0.25">
      <c r="D1" s="214" t="s">
        <v>145</v>
      </c>
      <c r="E1" s="214"/>
      <c r="F1" s="214"/>
      <c r="G1" s="214"/>
      <c r="H1" s="214"/>
    </row>
    <row r="2" spans="1:12" ht="18.75" customHeight="1" x14ac:dyDescent="0.25">
      <c r="A2" s="215" t="s">
        <v>389</v>
      </c>
      <c r="B2" s="216"/>
      <c r="C2" s="216"/>
      <c r="D2" s="216"/>
      <c r="E2" s="216"/>
      <c r="F2" s="216"/>
      <c r="G2" s="216"/>
      <c r="H2" s="216"/>
    </row>
    <row r="3" spans="1:12" ht="42" customHeight="1" x14ac:dyDescent="0.25">
      <c r="A3" s="228" t="s">
        <v>115</v>
      </c>
      <c r="B3" s="228"/>
      <c r="C3" s="228"/>
      <c r="D3" s="228"/>
      <c r="E3" s="228"/>
      <c r="F3" s="228"/>
      <c r="G3" s="228"/>
      <c r="H3" s="228"/>
    </row>
    <row r="4" spans="1:12" x14ac:dyDescent="0.25">
      <c r="A4" s="217"/>
      <c r="B4" s="217"/>
      <c r="C4" s="217"/>
      <c r="D4" s="217"/>
      <c r="E4" s="217"/>
      <c r="F4" s="217"/>
      <c r="G4" s="217"/>
      <c r="H4" s="217"/>
    </row>
    <row r="5" spans="1:12" ht="19.5" thickBot="1" x14ac:dyDescent="0.3">
      <c r="A5" s="226" t="s">
        <v>116</v>
      </c>
      <c r="B5" s="227"/>
      <c r="C5" s="227"/>
      <c r="D5" s="227"/>
      <c r="E5" s="227"/>
      <c r="F5" s="227"/>
      <c r="G5" s="227"/>
      <c r="H5" s="227"/>
    </row>
    <row r="6" spans="1:12" ht="15.75" customHeight="1" x14ac:dyDescent="0.25">
      <c r="A6" s="218" t="s">
        <v>117</v>
      </c>
      <c r="B6" s="219"/>
      <c r="C6" s="8" t="s">
        <v>118</v>
      </c>
      <c r="D6" s="218" t="s">
        <v>119</v>
      </c>
      <c r="E6" s="224"/>
      <c r="F6" s="224"/>
      <c r="G6" s="224"/>
      <c r="H6" s="219"/>
    </row>
    <row r="7" spans="1:12" ht="16.5" customHeight="1" thickBot="1" x14ac:dyDescent="0.3">
      <c r="A7" s="220"/>
      <c r="B7" s="221"/>
      <c r="C7" s="9" t="s">
        <v>25</v>
      </c>
      <c r="D7" s="222" t="s">
        <v>120</v>
      </c>
      <c r="E7" s="225"/>
      <c r="F7" s="225"/>
      <c r="G7" s="225"/>
      <c r="H7" s="223"/>
    </row>
    <row r="8" spans="1:12" ht="16.5" thickBot="1" x14ac:dyDescent="0.3">
      <c r="A8" s="222"/>
      <c r="B8" s="223"/>
      <c r="C8" s="10"/>
      <c r="D8" s="11" t="s">
        <v>164</v>
      </c>
      <c r="E8" s="48" t="s">
        <v>165</v>
      </c>
      <c r="F8" s="48" t="s">
        <v>166</v>
      </c>
      <c r="G8" s="48" t="s">
        <v>167</v>
      </c>
      <c r="H8" s="48" t="s">
        <v>168</v>
      </c>
    </row>
    <row r="9" spans="1:12" ht="16.5" thickBot="1" x14ac:dyDescent="0.3">
      <c r="A9" s="229">
        <v>1</v>
      </c>
      <c r="B9" s="230"/>
      <c r="C9" s="11">
        <v>2</v>
      </c>
      <c r="D9" s="11">
        <v>3</v>
      </c>
      <c r="E9" s="48">
        <v>4</v>
      </c>
      <c r="F9" s="48">
        <v>5</v>
      </c>
      <c r="G9" s="11">
        <v>6</v>
      </c>
      <c r="H9" s="11">
        <v>7</v>
      </c>
    </row>
    <row r="10" spans="1:12" ht="46.5" customHeight="1" thickBot="1" x14ac:dyDescent="0.3">
      <c r="A10" s="231" t="s">
        <v>121</v>
      </c>
      <c r="B10" s="232"/>
      <c r="C10" s="33">
        <f>SUM(D10:H10)</f>
        <v>2186576.6153500001</v>
      </c>
      <c r="D10" s="33">
        <f>SUM(D12:D15)</f>
        <v>408073.97308000014</v>
      </c>
      <c r="E10" s="33">
        <f t="shared" ref="E10:H10" si="0">SUM(E12:E15)</f>
        <v>433772.40249999997</v>
      </c>
      <c r="F10" s="33">
        <f t="shared" si="0"/>
        <v>444797.84466999996</v>
      </c>
      <c r="G10" s="33">
        <f t="shared" si="0"/>
        <v>447024.44867000001</v>
      </c>
      <c r="H10" s="33">
        <f t="shared" si="0"/>
        <v>452907.94643000001</v>
      </c>
    </row>
    <row r="11" spans="1:12" ht="16.5" thickBot="1" x14ac:dyDescent="0.3">
      <c r="A11" s="12"/>
      <c r="B11" s="13" t="s">
        <v>122</v>
      </c>
      <c r="C11" s="33"/>
      <c r="D11" s="33"/>
      <c r="E11" s="33"/>
      <c r="F11" s="33"/>
      <c r="G11" s="33"/>
      <c r="H11" s="33"/>
    </row>
    <row r="12" spans="1:12" ht="32.25" thickBot="1" x14ac:dyDescent="0.3">
      <c r="A12" s="14"/>
      <c r="B12" s="15" t="s">
        <v>123</v>
      </c>
      <c r="C12" s="36">
        <f>SUM(D12:H12)</f>
        <v>735668.52867000003</v>
      </c>
      <c r="D12" s="36">
        <f>'ПОМ ПП 1'!F116</f>
        <v>149276.61241000003</v>
      </c>
      <c r="E12" s="36">
        <f>'ПОМ ПП 1'!G116</f>
        <v>145061.26649999997</v>
      </c>
      <c r="F12" s="36">
        <f>'ПОМ ПП 1'!H116</f>
        <v>146551.64799999999</v>
      </c>
      <c r="G12" s="36">
        <f>'ПОМ ПП 1'!I116</f>
        <v>144447.75200000001</v>
      </c>
      <c r="H12" s="36">
        <f>'ПОМ ПП 1'!J116</f>
        <v>150331.24976000004</v>
      </c>
    </row>
    <row r="13" spans="1:12" ht="16.5" thickBot="1" x14ac:dyDescent="0.3">
      <c r="A13" s="16"/>
      <c r="B13" s="16" t="s">
        <v>124</v>
      </c>
      <c r="C13" s="36">
        <f>SUM(D13:H13)</f>
        <v>1368746.30268</v>
      </c>
      <c r="D13" s="36">
        <f>'ПОМ ПП 1'!F117</f>
        <v>248477.59267000004</v>
      </c>
      <c r="E13" s="36">
        <f>'ПОМ ПП 1'!G117</f>
        <v>271075.63199999998</v>
      </c>
      <c r="F13" s="36">
        <f>'ПОМ ПП 1'!H117</f>
        <v>280310.69266999996</v>
      </c>
      <c r="G13" s="36">
        <f>'ПОМ ПП 1'!I117</f>
        <v>284441.19266999996</v>
      </c>
      <c r="H13" s="36">
        <f>'ПОМ ПП 1'!J117</f>
        <v>284441.19266999996</v>
      </c>
    </row>
    <row r="14" spans="1:12" ht="16.5" thickBot="1" x14ac:dyDescent="0.3">
      <c r="A14" s="16"/>
      <c r="B14" s="13" t="s">
        <v>125</v>
      </c>
      <c r="C14" s="36">
        <f t="shared" ref="C14:C15" si="1">SUM(D14:H14)</f>
        <v>45429.383999999998</v>
      </c>
      <c r="D14" s="36">
        <f>'ПОМ ПП 1'!F118</f>
        <v>3494.5680000000002</v>
      </c>
      <c r="E14" s="36">
        <f>'ПОМ ПП 1'!G118</f>
        <v>10483.704</v>
      </c>
      <c r="F14" s="36">
        <f>'ПОМ ПП 1'!H118</f>
        <v>10483.704</v>
      </c>
      <c r="G14" s="36">
        <f>'ПОМ ПП 1'!I118</f>
        <v>10483.704</v>
      </c>
      <c r="H14" s="36">
        <f>'ПОМ ПП 1'!J118</f>
        <v>10483.704</v>
      </c>
      <c r="J14" s="4"/>
      <c r="K14" s="4"/>
      <c r="L14" s="4"/>
    </row>
    <row r="15" spans="1:12" ht="16.5" thickBot="1" x14ac:dyDescent="0.3">
      <c r="A15" s="17"/>
      <c r="B15" s="13" t="s">
        <v>126</v>
      </c>
      <c r="C15" s="30">
        <f t="shared" si="1"/>
        <v>36732.400000000001</v>
      </c>
      <c r="D15" s="30">
        <f>'ПОМ ПП 1'!F119</f>
        <v>6825.2</v>
      </c>
      <c r="E15" s="30">
        <f>'ПОМ ПП 1'!G119</f>
        <v>7151.8</v>
      </c>
      <c r="F15" s="30">
        <f>'ПОМ ПП 1'!H119</f>
        <v>7451.8</v>
      </c>
      <c r="G15" s="30">
        <f>'ПОМ ПП 1'!I119</f>
        <v>7651.8</v>
      </c>
      <c r="H15" s="30">
        <f>'ПОМ ПП 1'!J119</f>
        <v>7651.8</v>
      </c>
      <c r="J15" s="4"/>
      <c r="K15" s="4"/>
      <c r="L15" s="4"/>
    </row>
    <row r="16" spans="1:12" ht="16.5" thickBot="1" x14ac:dyDescent="0.3">
      <c r="A16" s="16"/>
      <c r="B16" s="18" t="s">
        <v>127</v>
      </c>
      <c r="C16" s="33">
        <f>SUM(D16:H16)</f>
        <v>2186576.6153500001</v>
      </c>
      <c r="D16" s="33">
        <f>D10-'ПОМ ПП 1'!F41</f>
        <v>408073.97308000014</v>
      </c>
      <c r="E16" s="33">
        <f>E10-'ПОМ ПП 1'!G41</f>
        <v>433772.40249999997</v>
      </c>
      <c r="F16" s="33">
        <f>F10-'ПОМ ПП 1'!H41</f>
        <v>444797.84466999996</v>
      </c>
      <c r="G16" s="33">
        <f>G10-'ПОМ ПП 1'!I41</f>
        <v>447024.44867000001</v>
      </c>
      <c r="H16" s="33">
        <f>H10-'ПОМ ПП 1'!J41</f>
        <v>452907.94643000001</v>
      </c>
      <c r="J16" s="4"/>
      <c r="K16" s="4"/>
      <c r="L16" s="4"/>
    </row>
    <row r="17" spans="1:8" ht="18.75" x14ac:dyDescent="0.25">
      <c r="A17" s="22"/>
    </row>
    <row r="20" spans="1:8" x14ac:dyDescent="0.25">
      <c r="A20" s="233" t="s">
        <v>138</v>
      </c>
      <c r="B20" s="233"/>
      <c r="C20" s="233"/>
      <c r="D20" s="233"/>
      <c r="E20" s="233"/>
      <c r="F20" s="233"/>
      <c r="G20" s="233"/>
      <c r="H20" s="233"/>
    </row>
    <row r="21" spans="1:8" x14ac:dyDescent="0.25">
      <c r="A21" s="233" t="s">
        <v>139</v>
      </c>
      <c r="B21" s="233"/>
      <c r="C21" s="233"/>
      <c r="D21" s="233"/>
      <c r="E21" s="233"/>
      <c r="F21" s="233"/>
      <c r="G21" s="233"/>
      <c r="H21" s="233"/>
    </row>
    <row r="22" spans="1:8" x14ac:dyDescent="0.25">
      <c r="A22" s="233" t="s">
        <v>140</v>
      </c>
      <c r="B22" s="233"/>
      <c r="C22" s="233"/>
      <c r="D22" s="233"/>
      <c r="E22" s="233"/>
      <c r="F22" s="233"/>
      <c r="G22" s="233"/>
      <c r="H22" s="233"/>
    </row>
  </sheetData>
  <mergeCells count="13">
    <mergeCell ref="A9:B9"/>
    <mergeCell ref="A10:B10"/>
    <mergeCell ref="A20:H20"/>
    <mergeCell ref="A21:H21"/>
    <mergeCell ref="A22:H22"/>
    <mergeCell ref="D1:H1"/>
    <mergeCell ref="A2:H2"/>
    <mergeCell ref="A4:H4"/>
    <mergeCell ref="A6:B8"/>
    <mergeCell ref="D6:H6"/>
    <mergeCell ref="D7:H7"/>
    <mergeCell ref="A5:H5"/>
    <mergeCell ref="A3:H3"/>
  </mergeCells>
  <hyperlinks>
    <hyperlink ref="B16" location="_ftn2" display="_ftn2"/>
    <hyperlink ref="A20" location="_ftnref1" display="_ftnref1"/>
    <hyperlink ref="A21" location="_ftnref2" display="_ftnref2"/>
    <hyperlink ref="A22" location="_ftnref3" display="_ftnref3"/>
  </hyperlinks>
  <pageMargins left="0.70866141732283472" right="0.70866141732283472" top="0.74803149606299213" bottom="0.74803149606299213" header="0.31496062992125984" footer="0.31496062992125984"/>
  <pageSetup paperSize="9" scale="68" firstPageNumber="11" fitToHeight="0" orientation="portrait" useFirstPageNumber="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97"/>
  <sheetViews>
    <sheetView view="pageBreakPreview" zoomScale="85" zoomScaleNormal="85" zoomScaleSheetLayoutView="85" zoomScalePageLayoutView="85" workbookViewId="0">
      <selection activeCell="I2" sqref="I2:Q2"/>
    </sheetView>
  </sheetViews>
  <sheetFormatPr defaultColWidth="9.140625" defaultRowHeight="15" x14ac:dyDescent="0.25"/>
  <cols>
    <col min="1" max="1" width="6.28515625" style="29" customWidth="1"/>
    <col min="2" max="2" width="30" style="29" customWidth="1"/>
    <col min="3" max="3" width="10.5703125" style="29" customWidth="1"/>
    <col min="4" max="4" width="14.28515625" style="29" customWidth="1"/>
    <col min="5" max="6" width="10.28515625" style="29" bestFit="1" customWidth="1"/>
    <col min="7" max="8" width="10.28515625" style="29" customWidth="1"/>
    <col min="9" max="10" width="10.28515625" style="29" bestFit="1" customWidth="1"/>
    <col min="11" max="11" width="13" style="29" customWidth="1"/>
    <col min="12" max="16" width="8.85546875" style="29" customWidth="1"/>
    <col min="17" max="17" width="26.7109375" style="62" customWidth="1"/>
    <col min="18" max="16384" width="9.140625" style="29"/>
  </cols>
  <sheetData>
    <row r="1" spans="1:19" x14ac:dyDescent="0.25">
      <c r="A1" s="28"/>
      <c r="B1" s="28"/>
      <c r="C1" s="28"/>
      <c r="D1" s="28"/>
      <c r="E1" s="28"/>
      <c r="F1" s="28"/>
      <c r="G1" s="28"/>
      <c r="H1" s="28"/>
      <c r="I1" s="28"/>
      <c r="J1" s="28"/>
      <c r="K1" s="28"/>
      <c r="L1" s="28"/>
      <c r="M1" s="28"/>
      <c r="N1" s="28"/>
      <c r="O1" s="192" t="s">
        <v>111</v>
      </c>
      <c r="P1" s="192"/>
      <c r="Q1" s="192"/>
      <c r="R1" s="28"/>
    </row>
    <row r="2" spans="1:19" x14ac:dyDescent="0.25">
      <c r="A2" s="28"/>
      <c r="B2" s="28"/>
      <c r="C2" s="28"/>
      <c r="D2" s="28"/>
      <c r="E2" s="28"/>
      <c r="F2" s="28"/>
      <c r="G2" s="28"/>
      <c r="H2" s="28"/>
      <c r="I2" s="200" t="s">
        <v>389</v>
      </c>
      <c r="J2" s="238"/>
      <c r="K2" s="238"/>
      <c r="L2" s="238"/>
      <c r="M2" s="238"/>
      <c r="N2" s="238"/>
      <c r="O2" s="238"/>
      <c r="P2" s="238"/>
      <c r="Q2" s="238"/>
      <c r="R2" s="28"/>
    </row>
    <row r="3" spans="1:19" x14ac:dyDescent="0.25">
      <c r="A3" s="193" t="s">
        <v>112</v>
      </c>
      <c r="B3" s="193"/>
      <c r="C3" s="193"/>
      <c r="D3" s="193"/>
      <c r="E3" s="193"/>
      <c r="F3" s="193"/>
      <c r="G3" s="193"/>
      <c r="H3" s="193"/>
      <c r="I3" s="193"/>
      <c r="J3" s="193"/>
      <c r="K3" s="193"/>
      <c r="L3" s="193"/>
      <c r="M3" s="193"/>
      <c r="N3" s="193"/>
      <c r="O3" s="193"/>
      <c r="P3" s="193"/>
      <c r="Q3" s="193"/>
      <c r="R3" s="28"/>
    </row>
    <row r="4" spans="1:19" ht="15" customHeight="1" x14ac:dyDescent="0.3">
      <c r="A4" s="28"/>
      <c r="B4" s="28"/>
      <c r="C4" s="28"/>
      <c r="D4" s="28"/>
      <c r="E4" s="28"/>
      <c r="F4" s="28"/>
      <c r="G4" s="28"/>
      <c r="H4" s="28"/>
      <c r="I4" s="28"/>
      <c r="J4" s="28"/>
      <c r="K4" s="28"/>
      <c r="L4" s="28"/>
      <c r="M4" s="28"/>
      <c r="N4" s="28"/>
      <c r="O4" s="28"/>
      <c r="P4" s="28"/>
      <c r="Q4" s="59"/>
      <c r="R4" s="28"/>
    </row>
    <row r="5" spans="1:19" ht="27.75" customHeight="1" x14ac:dyDescent="0.25">
      <c r="A5" s="164" t="s">
        <v>0</v>
      </c>
      <c r="B5" s="164" t="s">
        <v>1</v>
      </c>
      <c r="C5" s="164" t="s">
        <v>2</v>
      </c>
      <c r="D5" s="164" t="s">
        <v>143</v>
      </c>
      <c r="E5" s="165" t="s">
        <v>3</v>
      </c>
      <c r="F5" s="165"/>
      <c r="G5" s="165"/>
      <c r="H5" s="165"/>
      <c r="I5" s="165"/>
      <c r="J5" s="165"/>
      <c r="K5" s="164" t="s">
        <v>5</v>
      </c>
      <c r="L5" s="164"/>
      <c r="M5" s="164"/>
      <c r="N5" s="164"/>
      <c r="O5" s="164"/>
      <c r="P5" s="164"/>
      <c r="Q5" s="164" t="s">
        <v>144</v>
      </c>
      <c r="R5" s="28"/>
    </row>
    <row r="6" spans="1:19" ht="35.25" customHeight="1" x14ac:dyDescent="0.25">
      <c r="A6" s="164"/>
      <c r="B6" s="164"/>
      <c r="C6" s="164"/>
      <c r="D6" s="164"/>
      <c r="E6" s="149" t="s">
        <v>4</v>
      </c>
      <c r="F6" s="149" t="s">
        <v>164</v>
      </c>
      <c r="G6" s="149" t="s">
        <v>165</v>
      </c>
      <c r="H6" s="149" t="s">
        <v>166</v>
      </c>
      <c r="I6" s="149" t="s">
        <v>167</v>
      </c>
      <c r="J6" s="149" t="s">
        <v>168</v>
      </c>
      <c r="K6" s="148" t="s">
        <v>6</v>
      </c>
      <c r="L6" s="149" t="s">
        <v>164</v>
      </c>
      <c r="M6" s="149" t="s">
        <v>165</v>
      </c>
      <c r="N6" s="149" t="s">
        <v>166</v>
      </c>
      <c r="O6" s="149" t="s">
        <v>167</v>
      </c>
      <c r="P6" s="149" t="s">
        <v>168</v>
      </c>
      <c r="Q6" s="164"/>
      <c r="R6" s="52"/>
      <c r="S6" s="60"/>
    </row>
    <row r="7" spans="1:19" ht="15" customHeight="1" x14ac:dyDescent="0.3">
      <c r="A7" s="151">
        <v>1</v>
      </c>
      <c r="B7" s="151">
        <v>2</v>
      </c>
      <c r="C7" s="151">
        <v>3</v>
      </c>
      <c r="D7" s="151">
        <v>4</v>
      </c>
      <c r="E7" s="151">
        <v>5</v>
      </c>
      <c r="F7" s="151">
        <v>6</v>
      </c>
      <c r="G7" s="151">
        <v>7</v>
      </c>
      <c r="H7" s="151">
        <v>8</v>
      </c>
      <c r="I7" s="151">
        <v>9</v>
      </c>
      <c r="J7" s="151">
        <v>10</v>
      </c>
      <c r="K7" s="151">
        <v>11</v>
      </c>
      <c r="L7" s="151">
        <v>12</v>
      </c>
      <c r="M7" s="151">
        <v>13</v>
      </c>
      <c r="N7" s="151">
        <v>14</v>
      </c>
      <c r="O7" s="151">
        <v>15</v>
      </c>
      <c r="P7" s="151">
        <v>16</v>
      </c>
      <c r="Q7" s="151">
        <v>17</v>
      </c>
      <c r="R7" s="28"/>
    </row>
    <row r="8" spans="1:19" ht="15.75" customHeight="1" x14ac:dyDescent="0.25">
      <c r="A8" s="151"/>
      <c r="B8" s="234" t="s">
        <v>113</v>
      </c>
      <c r="C8" s="235"/>
      <c r="D8" s="235"/>
      <c r="E8" s="235"/>
      <c r="F8" s="235"/>
      <c r="G8" s="235"/>
      <c r="H8" s="235"/>
      <c r="I8" s="235"/>
      <c r="J8" s="235"/>
      <c r="K8" s="235"/>
      <c r="L8" s="235"/>
      <c r="M8" s="235"/>
      <c r="N8" s="235"/>
      <c r="O8" s="235"/>
      <c r="P8" s="235"/>
      <c r="Q8" s="236"/>
      <c r="R8" s="28"/>
    </row>
    <row r="9" spans="1:19" ht="14.45" customHeight="1" x14ac:dyDescent="0.25">
      <c r="A9" s="147">
        <v>1</v>
      </c>
      <c r="B9" s="234" t="s">
        <v>191</v>
      </c>
      <c r="C9" s="235"/>
      <c r="D9" s="235"/>
      <c r="E9" s="235"/>
      <c r="F9" s="235"/>
      <c r="G9" s="235"/>
      <c r="H9" s="235"/>
      <c r="I9" s="235"/>
      <c r="J9" s="235"/>
      <c r="K9" s="235"/>
      <c r="L9" s="235"/>
      <c r="M9" s="235"/>
      <c r="N9" s="235"/>
      <c r="O9" s="235"/>
      <c r="P9" s="235"/>
      <c r="Q9" s="236"/>
      <c r="R9" s="28"/>
    </row>
    <row r="10" spans="1:19" ht="25.5" customHeight="1" x14ac:dyDescent="0.25">
      <c r="A10" s="237" t="s">
        <v>8</v>
      </c>
      <c r="B10" s="158" t="s">
        <v>224</v>
      </c>
      <c r="C10" s="158" t="s">
        <v>173</v>
      </c>
      <c r="D10" s="54" t="s">
        <v>9</v>
      </c>
      <c r="E10" s="46">
        <f t="shared" ref="E10:J10" si="0">SUM(E11:E15)</f>
        <v>328.40999999999997</v>
      </c>
      <c r="F10" s="46">
        <f t="shared" si="0"/>
        <v>138.41</v>
      </c>
      <c r="G10" s="46">
        <f t="shared" si="0"/>
        <v>100</v>
      </c>
      <c r="H10" s="46">
        <f t="shared" si="0"/>
        <v>0</v>
      </c>
      <c r="I10" s="46">
        <f t="shared" si="0"/>
        <v>0</v>
      </c>
      <c r="J10" s="46">
        <f t="shared" si="0"/>
        <v>90</v>
      </c>
      <c r="K10" s="61"/>
      <c r="L10" s="61"/>
      <c r="M10" s="61"/>
      <c r="N10" s="61"/>
      <c r="O10" s="61"/>
      <c r="P10" s="61"/>
      <c r="Q10" s="182" t="s">
        <v>190</v>
      </c>
      <c r="R10" s="28"/>
    </row>
    <row r="11" spans="1:19" x14ac:dyDescent="0.25">
      <c r="A11" s="167"/>
      <c r="B11" s="159"/>
      <c r="C11" s="159"/>
      <c r="D11" s="155" t="s">
        <v>10</v>
      </c>
      <c r="E11" s="156"/>
      <c r="F11" s="156"/>
      <c r="G11" s="156"/>
      <c r="H11" s="156"/>
      <c r="I11" s="156"/>
      <c r="J11" s="157"/>
      <c r="K11" s="61"/>
      <c r="L11" s="61"/>
      <c r="M11" s="61"/>
      <c r="N11" s="61"/>
      <c r="O11" s="61"/>
      <c r="P11" s="61"/>
      <c r="Q11" s="162"/>
      <c r="R11" s="28"/>
    </row>
    <row r="12" spans="1:19" x14ac:dyDescent="0.25">
      <c r="A12" s="167"/>
      <c r="B12" s="159"/>
      <c r="C12" s="159"/>
      <c r="D12" s="54" t="s">
        <v>11</v>
      </c>
      <c r="E12" s="46">
        <f>SUM(F12:J12)</f>
        <v>328.40999999999997</v>
      </c>
      <c r="F12" s="46">
        <f>F18+F24+F30+F36+F42+F48+F54+F60</f>
        <v>138.41</v>
      </c>
      <c r="G12" s="46">
        <f>G18+G24+G30+G36+G42+G48+G54+G60</f>
        <v>100</v>
      </c>
      <c r="H12" s="46">
        <f>H18+H24+H30+H36+H42+H48+H54+H60</f>
        <v>0</v>
      </c>
      <c r="I12" s="46">
        <f>I18+I24+I30+I36+I42+I48+I54+I60</f>
        <v>0</v>
      </c>
      <c r="J12" s="46">
        <f>J18+J24+J30+J36+J42+J48+J54+J60</f>
        <v>90</v>
      </c>
      <c r="K12" s="61"/>
      <c r="L12" s="61"/>
      <c r="M12" s="61"/>
      <c r="N12" s="61"/>
      <c r="O12" s="61"/>
      <c r="P12" s="61"/>
      <c r="Q12" s="162"/>
      <c r="R12" s="28"/>
    </row>
    <row r="13" spans="1:19" x14ac:dyDescent="0.25">
      <c r="A13" s="167"/>
      <c r="B13" s="159"/>
      <c r="C13" s="159"/>
      <c r="D13" s="54" t="s">
        <v>12</v>
      </c>
      <c r="E13" s="46">
        <f>SUM(F13:J13)</f>
        <v>0</v>
      </c>
      <c r="F13" s="46">
        <f t="shared" ref="F13:J15" si="1">F19+F25+F31+F37+F43+F49+F55+F61</f>
        <v>0</v>
      </c>
      <c r="G13" s="46">
        <f t="shared" si="1"/>
        <v>0</v>
      </c>
      <c r="H13" s="46">
        <f t="shared" si="1"/>
        <v>0</v>
      </c>
      <c r="I13" s="46">
        <f t="shared" si="1"/>
        <v>0</v>
      </c>
      <c r="J13" s="46">
        <f t="shared" si="1"/>
        <v>0</v>
      </c>
      <c r="K13" s="61"/>
      <c r="L13" s="61"/>
      <c r="M13" s="61"/>
      <c r="N13" s="61"/>
      <c r="O13" s="61"/>
      <c r="P13" s="61"/>
      <c r="Q13" s="162"/>
      <c r="R13" s="28"/>
    </row>
    <row r="14" spans="1:19" x14ac:dyDescent="0.25">
      <c r="A14" s="167"/>
      <c r="B14" s="159"/>
      <c r="C14" s="159"/>
      <c r="D14" s="54" t="s">
        <v>13</v>
      </c>
      <c r="E14" s="46">
        <f>SUM(F14:J14)</f>
        <v>0</v>
      </c>
      <c r="F14" s="46">
        <f t="shared" si="1"/>
        <v>0</v>
      </c>
      <c r="G14" s="46">
        <f t="shared" si="1"/>
        <v>0</v>
      </c>
      <c r="H14" s="46">
        <f t="shared" si="1"/>
        <v>0</v>
      </c>
      <c r="I14" s="46">
        <f t="shared" si="1"/>
        <v>0</v>
      </c>
      <c r="J14" s="46">
        <f t="shared" si="1"/>
        <v>0</v>
      </c>
      <c r="K14" s="61"/>
      <c r="L14" s="61"/>
      <c r="M14" s="61"/>
      <c r="N14" s="61"/>
      <c r="O14" s="61"/>
      <c r="P14" s="61"/>
      <c r="Q14" s="162"/>
      <c r="R14" s="28"/>
    </row>
    <row r="15" spans="1:19" x14ac:dyDescent="0.25">
      <c r="A15" s="168"/>
      <c r="B15" s="160"/>
      <c r="C15" s="160"/>
      <c r="D15" s="54" t="s">
        <v>14</v>
      </c>
      <c r="E15" s="46">
        <f>SUM(F15:J15)</f>
        <v>0</v>
      </c>
      <c r="F15" s="46">
        <f t="shared" si="1"/>
        <v>0</v>
      </c>
      <c r="G15" s="46">
        <f t="shared" si="1"/>
        <v>0</v>
      </c>
      <c r="H15" s="46">
        <f t="shared" si="1"/>
        <v>0</v>
      </c>
      <c r="I15" s="46">
        <f t="shared" si="1"/>
        <v>0</v>
      </c>
      <c r="J15" s="46">
        <f t="shared" si="1"/>
        <v>0</v>
      </c>
      <c r="K15" s="61"/>
      <c r="L15" s="61"/>
      <c r="M15" s="61"/>
      <c r="N15" s="61"/>
      <c r="O15" s="61"/>
      <c r="P15" s="61"/>
      <c r="Q15" s="163"/>
      <c r="R15" s="28"/>
    </row>
    <row r="16" spans="1:19" x14ac:dyDescent="0.25">
      <c r="A16" s="166"/>
      <c r="B16" s="158"/>
      <c r="C16" s="158" t="s">
        <v>173</v>
      </c>
      <c r="D16" s="54" t="s">
        <v>9</v>
      </c>
      <c r="E16" s="46">
        <f t="shared" ref="E16:J16" si="2">SUM(E17:E21)</f>
        <v>45</v>
      </c>
      <c r="F16" s="46">
        <f t="shared" si="2"/>
        <v>15</v>
      </c>
      <c r="G16" s="46">
        <f t="shared" si="2"/>
        <v>15</v>
      </c>
      <c r="H16" s="46">
        <f t="shared" si="2"/>
        <v>0</v>
      </c>
      <c r="I16" s="46">
        <f t="shared" si="2"/>
        <v>0</v>
      </c>
      <c r="J16" s="46">
        <f t="shared" si="2"/>
        <v>15</v>
      </c>
      <c r="K16" s="61"/>
      <c r="L16" s="61"/>
      <c r="M16" s="61"/>
      <c r="N16" s="61"/>
      <c r="O16" s="61"/>
      <c r="P16" s="61"/>
      <c r="Q16" s="179" t="s">
        <v>225</v>
      </c>
      <c r="R16" s="28"/>
    </row>
    <row r="17" spans="1:18" x14ac:dyDescent="0.25">
      <c r="A17" s="167"/>
      <c r="B17" s="159"/>
      <c r="C17" s="159"/>
      <c r="D17" s="155" t="s">
        <v>10</v>
      </c>
      <c r="E17" s="156"/>
      <c r="F17" s="156"/>
      <c r="G17" s="156"/>
      <c r="H17" s="156"/>
      <c r="I17" s="156"/>
      <c r="J17" s="157"/>
      <c r="K17" s="61"/>
      <c r="L17" s="61"/>
      <c r="M17" s="61"/>
      <c r="N17" s="61"/>
      <c r="O17" s="61"/>
      <c r="P17" s="61"/>
      <c r="Q17" s="180"/>
      <c r="R17" s="28"/>
    </row>
    <row r="18" spans="1:18" x14ac:dyDescent="0.25">
      <c r="A18" s="167"/>
      <c r="B18" s="159"/>
      <c r="C18" s="159"/>
      <c r="D18" s="54" t="s">
        <v>11</v>
      </c>
      <c r="E18" s="46">
        <f>SUM(F18:J18)</f>
        <v>45</v>
      </c>
      <c r="F18" s="46">
        <v>15</v>
      </c>
      <c r="G18" s="46">
        <v>15</v>
      </c>
      <c r="H18" s="46"/>
      <c r="I18" s="46"/>
      <c r="J18" s="46">
        <v>15</v>
      </c>
      <c r="K18" s="61"/>
      <c r="L18" s="61"/>
      <c r="M18" s="61"/>
      <c r="N18" s="61"/>
      <c r="O18" s="61"/>
      <c r="P18" s="61"/>
      <c r="Q18" s="180"/>
      <c r="R18" s="28"/>
    </row>
    <row r="19" spans="1:18" x14ac:dyDescent="0.25">
      <c r="A19" s="167"/>
      <c r="B19" s="159"/>
      <c r="C19" s="159"/>
      <c r="D19" s="54" t="s">
        <v>12</v>
      </c>
      <c r="E19" s="46">
        <f>SUM(F19:J19)</f>
        <v>0</v>
      </c>
      <c r="F19" s="46"/>
      <c r="G19" s="46"/>
      <c r="H19" s="46"/>
      <c r="I19" s="46"/>
      <c r="J19" s="46"/>
      <c r="K19" s="61"/>
      <c r="L19" s="61"/>
      <c r="M19" s="61"/>
      <c r="N19" s="61"/>
      <c r="O19" s="61"/>
      <c r="P19" s="61"/>
      <c r="Q19" s="180"/>
      <c r="R19" s="28"/>
    </row>
    <row r="20" spans="1:18" x14ac:dyDescent="0.25">
      <c r="A20" s="167"/>
      <c r="B20" s="159"/>
      <c r="C20" s="159"/>
      <c r="D20" s="54" t="s">
        <v>13</v>
      </c>
      <c r="E20" s="46">
        <f>SUM(F20:J20)</f>
        <v>0</v>
      </c>
      <c r="F20" s="46"/>
      <c r="G20" s="46"/>
      <c r="H20" s="46"/>
      <c r="I20" s="46"/>
      <c r="J20" s="46"/>
      <c r="K20" s="61"/>
      <c r="L20" s="61"/>
      <c r="M20" s="61"/>
      <c r="N20" s="61"/>
      <c r="O20" s="61"/>
      <c r="P20" s="61"/>
      <c r="Q20" s="180"/>
      <c r="R20" s="28"/>
    </row>
    <row r="21" spans="1:18" x14ac:dyDescent="0.25">
      <c r="A21" s="168"/>
      <c r="B21" s="160"/>
      <c r="C21" s="160"/>
      <c r="D21" s="54" t="s">
        <v>14</v>
      </c>
      <c r="E21" s="46">
        <f>SUM(F21:J21)</f>
        <v>0</v>
      </c>
      <c r="F21" s="46"/>
      <c r="G21" s="46"/>
      <c r="H21" s="46"/>
      <c r="I21" s="46"/>
      <c r="J21" s="46"/>
      <c r="K21" s="61"/>
      <c r="L21" s="61"/>
      <c r="M21" s="61"/>
      <c r="N21" s="61"/>
      <c r="O21" s="61"/>
      <c r="P21" s="61"/>
      <c r="Q21" s="181"/>
      <c r="R21" s="28"/>
    </row>
    <row r="22" spans="1:18" x14ac:dyDescent="0.25">
      <c r="A22" s="166"/>
      <c r="B22" s="158"/>
      <c r="C22" s="158" t="s">
        <v>173</v>
      </c>
      <c r="D22" s="54" t="s">
        <v>9</v>
      </c>
      <c r="E22" s="46">
        <f t="shared" ref="E22:J22" si="3">SUM(E23:E27)</f>
        <v>45</v>
      </c>
      <c r="F22" s="46">
        <f t="shared" si="3"/>
        <v>15</v>
      </c>
      <c r="G22" s="46">
        <f t="shared" si="3"/>
        <v>15</v>
      </c>
      <c r="H22" s="46">
        <f t="shared" si="3"/>
        <v>0</v>
      </c>
      <c r="I22" s="46">
        <f t="shared" si="3"/>
        <v>0</v>
      </c>
      <c r="J22" s="46">
        <f t="shared" si="3"/>
        <v>15</v>
      </c>
      <c r="K22" s="61"/>
      <c r="L22" s="61"/>
      <c r="M22" s="61"/>
      <c r="N22" s="61"/>
      <c r="O22" s="61"/>
      <c r="P22" s="61"/>
      <c r="Q22" s="179" t="s">
        <v>226</v>
      </c>
      <c r="R22" s="28"/>
    </row>
    <row r="23" spans="1:18" x14ac:dyDescent="0.25">
      <c r="A23" s="167"/>
      <c r="B23" s="159"/>
      <c r="C23" s="159"/>
      <c r="D23" s="155" t="s">
        <v>10</v>
      </c>
      <c r="E23" s="156"/>
      <c r="F23" s="156"/>
      <c r="G23" s="156"/>
      <c r="H23" s="156"/>
      <c r="I23" s="156"/>
      <c r="J23" s="157"/>
      <c r="K23" s="61"/>
      <c r="L23" s="61"/>
      <c r="M23" s="61"/>
      <c r="N23" s="61"/>
      <c r="O23" s="61"/>
      <c r="P23" s="61"/>
      <c r="Q23" s="180"/>
      <c r="R23" s="28"/>
    </row>
    <row r="24" spans="1:18" x14ac:dyDescent="0.25">
      <c r="A24" s="167"/>
      <c r="B24" s="159"/>
      <c r="C24" s="159"/>
      <c r="D24" s="54" t="s">
        <v>11</v>
      </c>
      <c r="E24" s="46">
        <f>SUM(F24:J24)</f>
        <v>45</v>
      </c>
      <c r="F24" s="46">
        <v>15</v>
      </c>
      <c r="G24" s="46">
        <v>15</v>
      </c>
      <c r="H24" s="46"/>
      <c r="I24" s="46"/>
      <c r="J24" s="46">
        <v>15</v>
      </c>
      <c r="K24" s="61"/>
      <c r="L24" s="61"/>
      <c r="M24" s="61"/>
      <c r="N24" s="61"/>
      <c r="O24" s="61"/>
      <c r="P24" s="61"/>
      <c r="Q24" s="180"/>
      <c r="R24" s="28"/>
    </row>
    <row r="25" spans="1:18" x14ac:dyDescent="0.25">
      <c r="A25" s="167"/>
      <c r="B25" s="159"/>
      <c r="C25" s="159"/>
      <c r="D25" s="54" t="s">
        <v>12</v>
      </c>
      <c r="E25" s="46">
        <f>SUM(F25:J25)</f>
        <v>0</v>
      </c>
      <c r="F25" s="46"/>
      <c r="G25" s="46"/>
      <c r="H25" s="46"/>
      <c r="I25" s="46"/>
      <c r="J25" s="46"/>
      <c r="K25" s="61"/>
      <c r="L25" s="61"/>
      <c r="M25" s="61"/>
      <c r="N25" s="61"/>
      <c r="O25" s="61"/>
      <c r="P25" s="61"/>
      <c r="Q25" s="180"/>
      <c r="R25" s="28"/>
    </row>
    <row r="26" spans="1:18" x14ac:dyDescent="0.25">
      <c r="A26" s="167"/>
      <c r="B26" s="159"/>
      <c r="C26" s="159"/>
      <c r="D26" s="54" t="s">
        <v>13</v>
      </c>
      <c r="E26" s="46">
        <f>SUM(F26:J26)</f>
        <v>0</v>
      </c>
      <c r="F26" s="46"/>
      <c r="G26" s="46"/>
      <c r="H26" s="46"/>
      <c r="I26" s="46"/>
      <c r="J26" s="46"/>
      <c r="K26" s="61"/>
      <c r="L26" s="61"/>
      <c r="M26" s="61"/>
      <c r="N26" s="61"/>
      <c r="O26" s="61"/>
      <c r="P26" s="61"/>
      <c r="Q26" s="180"/>
      <c r="R26" s="28"/>
    </row>
    <row r="27" spans="1:18" x14ac:dyDescent="0.25">
      <c r="A27" s="168"/>
      <c r="B27" s="160"/>
      <c r="C27" s="160"/>
      <c r="D27" s="54" t="s">
        <v>14</v>
      </c>
      <c r="E27" s="46">
        <f>SUM(F27:J27)</f>
        <v>0</v>
      </c>
      <c r="F27" s="46"/>
      <c r="G27" s="46"/>
      <c r="H27" s="46"/>
      <c r="I27" s="46"/>
      <c r="J27" s="46"/>
      <c r="K27" s="61"/>
      <c r="L27" s="61"/>
      <c r="M27" s="61"/>
      <c r="N27" s="61"/>
      <c r="O27" s="61"/>
      <c r="P27" s="61"/>
      <c r="Q27" s="181"/>
      <c r="R27" s="28"/>
    </row>
    <row r="28" spans="1:18" x14ac:dyDescent="0.25">
      <c r="A28" s="166"/>
      <c r="B28" s="158"/>
      <c r="C28" s="158" t="s">
        <v>173</v>
      </c>
      <c r="D28" s="54" t="s">
        <v>9</v>
      </c>
      <c r="E28" s="46">
        <f t="shared" ref="E28:J28" si="4">SUM(E29:E33)</f>
        <v>45</v>
      </c>
      <c r="F28" s="46">
        <f t="shared" si="4"/>
        <v>15</v>
      </c>
      <c r="G28" s="46">
        <f t="shared" si="4"/>
        <v>15</v>
      </c>
      <c r="H28" s="46">
        <f t="shared" si="4"/>
        <v>0</v>
      </c>
      <c r="I28" s="46">
        <f t="shared" si="4"/>
        <v>0</v>
      </c>
      <c r="J28" s="46">
        <f t="shared" si="4"/>
        <v>15</v>
      </c>
      <c r="K28" s="61"/>
      <c r="L28" s="61"/>
      <c r="M28" s="61"/>
      <c r="N28" s="61"/>
      <c r="O28" s="61"/>
      <c r="P28" s="61"/>
      <c r="Q28" s="179" t="s">
        <v>227</v>
      </c>
      <c r="R28" s="28"/>
    </row>
    <row r="29" spans="1:18" x14ac:dyDescent="0.25">
      <c r="A29" s="167"/>
      <c r="B29" s="159"/>
      <c r="C29" s="159"/>
      <c r="D29" s="155" t="s">
        <v>10</v>
      </c>
      <c r="E29" s="156"/>
      <c r="F29" s="156"/>
      <c r="G29" s="156"/>
      <c r="H29" s="156"/>
      <c r="I29" s="156"/>
      <c r="J29" s="157"/>
      <c r="K29" s="61"/>
      <c r="L29" s="61"/>
      <c r="M29" s="61"/>
      <c r="N29" s="61"/>
      <c r="O29" s="61"/>
      <c r="P29" s="61"/>
      <c r="Q29" s="180"/>
      <c r="R29" s="28"/>
    </row>
    <row r="30" spans="1:18" x14ac:dyDescent="0.25">
      <c r="A30" s="167"/>
      <c r="B30" s="159"/>
      <c r="C30" s="159"/>
      <c r="D30" s="54" t="s">
        <v>11</v>
      </c>
      <c r="E30" s="46">
        <f>SUM(F30:J30)</f>
        <v>45</v>
      </c>
      <c r="F30" s="46">
        <v>15</v>
      </c>
      <c r="G30" s="46">
        <v>15</v>
      </c>
      <c r="H30" s="46"/>
      <c r="I30" s="46"/>
      <c r="J30" s="46">
        <v>15</v>
      </c>
      <c r="K30" s="61"/>
      <c r="L30" s="61"/>
      <c r="M30" s="61"/>
      <c r="N30" s="61"/>
      <c r="O30" s="61"/>
      <c r="P30" s="61"/>
      <c r="Q30" s="180"/>
      <c r="R30" s="28"/>
    </row>
    <row r="31" spans="1:18" x14ac:dyDescent="0.25">
      <c r="A31" s="167"/>
      <c r="B31" s="159"/>
      <c r="C31" s="159"/>
      <c r="D31" s="54" t="s">
        <v>12</v>
      </c>
      <c r="E31" s="46">
        <f>SUM(F31:J31)</f>
        <v>0</v>
      </c>
      <c r="F31" s="46"/>
      <c r="G31" s="46"/>
      <c r="H31" s="46"/>
      <c r="I31" s="46"/>
      <c r="J31" s="46"/>
      <c r="K31" s="61"/>
      <c r="L31" s="61"/>
      <c r="M31" s="61"/>
      <c r="N31" s="61"/>
      <c r="O31" s="61"/>
      <c r="P31" s="61"/>
      <c r="Q31" s="180"/>
      <c r="R31" s="28"/>
    </row>
    <row r="32" spans="1:18" x14ac:dyDescent="0.25">
      <c r="A32" s="167"/>
      <c r="B32" s="159"/>
      <c r="C32" s="159"/>
      <c r="D32" s="54" t="s">
        <v>13</v>
      </c>
      <c r="E32" s="46">
        <f>SUM(F32:J32)</f>
        <v>0</v>
      </c>
      <c r="F32" s="46"/>
      <c r="G32" s="46"/>
      <c r="H32" s="46"/>
      <c r="I32" s="46"/>
      <c r="J32" s="46"/>
      <c r="K32" s="61"/>
      <c r="L32" s="61"/>
      <c r="M32" s="61"/>
      <c r="N32" s="61"/>
      <c r="O32" s="61"/>
      <c r="P32" s="61"/>
      <c r="Q32" s="180"/>
      <c r="R32" s="28"/>
    </row>
    <row r="33" spans="1:18" x14ac:dyDescent="0.25">
      <c r="A33" s="168"/>
      <c r="B33" s="160"/>
      <c r="C33" s="160"/>
      <c r="D33" s="54" t="s">
        <v>14</v>
      </c>
      <c r="E33" s="46">
        <f>SUM(F33:J33)</f>
        <v>0</v>
      </c>
      <c r="F33" s="46"/>
      <c r="G33" s="46"/>
      <c r="H33" s="46"/>
      <c r="I33" s="46"/>
      <c r="J33" s="46"/>
      <c r="K33" s="61"/>
      <c r="L33" s="61"/>
      <c r="M33" s="61"/>
      <c r="N33" s="61"/>
      <c r="O33" s="61"/>
      <c r="P33" s="61"/>
      <c r="Q33" s="181"/>
      <c r="R33" s="28"/>
    </row>
    <row r="34" spans="1:18" x14ac:dyDescent="0.25">
      <c r="A34" s="166"/>
      <c r="B34" s="158"/>
      <c r="C34" s="158" t="s">
        <v>173</v>
      </c>
      <c r="D34" s="54" t="s">
        <v>9</v>
      </c>
      <c r="E34" s="46">
        <f t="shared" ref="E34:J34" si="5">SUM(E35:E39)</f>
        <v>10</v>
      </c>
      <c r="F34" s="46">
        <f t="shared" si="5"/>
        <v>0</v>
      </c>
      <c r="G34" s="46">
        <f t="shared" si="5"/>
        <v>10</v>
      </c>
      <c r="H34" s="46">
        <f t="shared" si="5"/>
        <v>0</v>
      </c>
      <c r="I34" s="46">
        <f t="shared" si="5"/>
        <v>0</v>
      </c>
      <c r="J34" s="46">
        <f t="shared" si="5"/>
        <v>0</v>
      </c>
      <c r="K34" s="61"/>
      <c r="L34" s="61"/>
      <c r="M34" s="61"/>
      <c r="N34" s="61"/>
      <c r="O34" s="61"/>
      <c r="P34" s="61"/>
      <c r="Q34" s="179" t="s">
        <v>228</v>
      </c>
      <c r="R34" s="28"/>
    </row>
    <row r="35" spans="1:18" x14ac:dyDescent="0.25">
      <c r="A35" s="167"/>
      <c r="B35" s="159"/>
      <c r="C35" s="159"/>
      <c r="D35" s="155" t="s">
        <v>10</v>
      </c>
      <c r="E35" s="156"/>
      <c r="F35" s="156"/>
      <c r="G35" s="156"/>
      <c r="H35" s="156"/>
      <c r="I35" s="156"/>
      <c r="J35" s="157"/>
      <c r="K35" s="61"/>
      <c r="L35" s="61"/>
      <c r="M35" s="61"/>
      <c r="N35" s="61"/>
      <c r="O35" s="61"/>
      <c r="P35" s="61"/>
      <c r="Q35" s="180"/>
      <c r="R35" s="28"/>
    </row>
    <row r="36" spans="1:18" x14ac:dyDescent="0.25">
      <c r="A36" s="167"/>
      <c r="B36" s="159"/>
      <c r="C36" s="159"/>
      <c r="D36" s="54" t="s">
        <v>11</v>
      </c>
      <c r="E36" s="46">
        <f>SUM(F36:J36)</f>
        <v>10</v>
      </c>
      <c r="F36" s="46">
        <v>0</v>
      </c>
      <c r="G36" s="46">
        <v>10</v>
      </c>
      <c r="H36" s="46">
        <v>0</v>
      </c>
      <c r="I36" s="46">
        <v>0</v>
      </c>
      <c r="J36" s="46">
        <v>0</v>
      </c>
      <c r="K36" s="61"/>
      <c r="L36" s="61"/>
      <c r="M36" s="61"/>
      <c r="N36" s="61"/>
      <c r="O36" s="61"/>
      <c r="P36" s="61"/>
      <c r="Q36" s="180"/>
      <c r="R36" s="28"/>
    </row>
    <row r="37" spans="1:18" x14ac:dyDescent="0.25">
      <c r="A37" s="167"/>
      <c r="B37" s="159"/>
      <c r="C37" s="159"/>
      <c r="D37" s="54" t="s">
        <v>12</v>
      </c>
      <c r="E37" s="46">
        <f>SUM(F37:J37)</f>
        <v>0</v>
      </c>
      <c r="F37" s="46"/>
      <c r="G37" s="46"/>
      <c r="H37" s="46"/>
      <c r="I37" s="46"/>
      <c r="J37" s="46"/>
      <c r="K37" s="61"/>
      <c r="L37" s="61"/>
      <c r="M37" s="61"/>
      <c r="N37" s="61"/>
      <c r="O37" s="61"/>
      <c r="P37" s="61"/>
      <c r="Q37" s="180"/>
      <c r="R37" s="28"/>
    </row>
    <row r="38" spans="1:18" x14ac:dyDescent="0.25">
      <c r="A38" s="167"/>
      <c r="B38" s="159"/>
      <c r="C38" s="159"/>
      <c r="D38" s="54" t="s">
        <v>13</v>
      </c>
      <c r="E38" s="46">
        <f>SUM(F38:J38)</f>
        <v>0</v>
      </c>
      <c r="F38" s="46"/>
      <c r="G38" s="46"/>
      <c r="H38" s="46"/>
      <c r="I38" s="46"/>
      <c r="J38" s="46"/>
      <c r="K38" s="61"/>
      <c r="L38" s="61"/>
      <c r="M38" s="61"/>
      <c r="N38" s="61"/>
      <c r="O38" s="61"/>
      <c r="P38" s="61"/>
      <c r="Q38" s="180"/>
      <c r="R38" s="28"/>
    </row>
    <row r="39" spans="1:18" x14ac:dyDescent="0.25">
      <c r="A39" s="168"/>
      <c r="B39" s="160"/>
      <c r="C39" s="160"/>
      <c r="D39" s="54" t="s">
        <v>14</v>
      </c>
      <c r="E39" s="46">
        <f>SUM(F39:J39)</f>
        <v>0</v>
      </c>
      <c r="F39" s="46"/>
      <c r="G39" s="46"/>
      <c r="H39" s="46"/>
      <c r="I39" s="46"/>
      <c r="J39" s="46"/>
      <c r="K39" s="61"/>
      <c r="L39" s="61"/>
      <c r="M39" s="61"/>
      <c r="N39" s="61"/>
      <c r="O39" s="61"/>
      <c r="P39" s="61"/>
      <c r="Q39" s="181"/>
      <c r="R39" s="28"/>
    </row>
    <row r="40" spans="1:18" x14ac:dyDescent="0.25">
      <c r="A40" s="166"/>
      <c r="B40" s="158"/>
      <c r="C40" s="158" t="s">
        <v>173</v>
      </c>
      <c r="D40" s="54" t="s">
        <v>9</v>
      </c>
      <c r="E40" s="46">
        <f t="shared" ref="E40:J40" si="6">SUM(E41:E45)</f>
        <v>45</v>
      </c>
      <c r="F40" s="46">
        <f t="shared" si="6"/>
        <v>15</v>
      </c>
      <c r="G40" s="46">
        <f t="shared" si="6"/>
        <v>15</v>
      </c>
      <c r="H40" s="46">
        <f t="shared" si="6"/>
        <v>0</v>
      </c>
      <c r="I40" s="46">
        <f t="shared" si="6"/>
        <v>0</v>
      </c>
      <c r="J40" s="46">
        <f t="shared" si="6"/>
        <v>15</v>
      </c>
      <c r="K40" s="61"/>
      <c r="L40" s="61"/>
      <c r="M40" s="61"/>
      <c r="N40" s="61"/>
      <c r="O40" s="61"/>
      <c r="P40" s="61"/>
      <c r="Q40" s="179" t="s">
        <v>229</v>
      </c>
      <c r="R40" s="28"/>
    </row>
    <row r="41" spans="1:18" x14ac:dyDescent="0.25">
      <c r="A41" s="167"/>
      <c r="B41" s="159"/>
      <c r="C41" s="159"/>
      <c r="D41" s="155" t="s">
        <v>10</v>
      </c>
      <c r="E41" s="156"/>
      <c r="F41" s="156"/>
      <c r="G41" s="156"/>
      <c r="H41" s="156"/>
      <c r="I41" s="156"/>
      <c r="J41" s="157"/>
      <c r="K41" s="61"/>
      <c r="L41" s="61"/>
      <c r="M41" s="61"/>
      <c r="N41" s="61"/>
      <c r="O41" s="61"/>
      <c r="P41" s="61"/>
      <c r="Q41" s="180"/>
      <c r="R41" s="28"/>
    </row>
    <row r="42" spans="1:18" x14ac:dyDescent="0.25">
      <c r="A42" s="167"/>
      <c r="B42" s="159"/>
      <c r="C42" s="159"/>
      <c r="D42" s="54" t="s">
        <v>11</v>
      </c>
      <c r="E42" s="46">
        <f>SUM(F42:J42)</f>
        <v>45</v>
      </c>
      <c r="F42" s="46">
        <v>15</v>
      </c>
      <c r="G42" s="46">
        <v>15</v>
      </c>
      <c r="H42" s="46"/>
      <c r="I42" s="46"/>
      <c r="J42" s="46">
        <v>15</v>
      </c>
      <c r="K42" s="61"/>
      <c r="L42" s="61"/>
      <c r="M42" s="61"/>
      <c r="N42" s="61"/>
      <c r="O42" s="61"/>
      <c r="P42" s="61"/>
      <c r="Q42" s="180"/>
      <c r="R42" s="28"/>
    </row>
    <row r="43" spans="1:18" x14ac:dyDescent="0.25">
      <c r="A43" s="167"/>
      <c r="B43" s="159"/>
      <c r="C43" s="159"/>
      <c r="D43" s="54" t="s">
        <v>12</v>
      </c>
      <c r="E43" s="46">
        <f>SUM(F43:J43)</f>
        <v>0</v>
      </c>
      <c r="F43" s="46"/>
      <c r="G43" s="46"/>
      <c r="H43" s="46"/>
      <c r="I43" s="46"/>
      <c r="J43" s="46"/>
      <c r="K43" s="61"/>
      <c r="L43" s="61"/>
      <c r="M43" s="61"/>
      <c r="N43" s="61"/>
      <c r="O43" s="61"/>
      <c r="P43" s="61"/>
      <c r="Q43" s="180"/>
      <c r="R43" s="28"/>
    </row>
    <row r="44" spans="1:18" x14ac:dyDescent="0.25">
      <c r="A44" s="167"/>
      <c r="B44" s="159"/>
      <c r="C44" s="159"/>
      <c r="D44" s="54" t="s">
        <v>13</v>
      </c>
      <c r="E44" s="46">
        <f>SUM(F44:J44)</f>
        <v>0</v>
      </c>
      <c r="F44" s="46"/>
      <c r="G44" s="46"/>
      <c r="H44" s="46"/>
      <c r="I44" s="46"/>
      <c r="J44" s="46"/>
      <c r="K44" s="61"/>
      <c r="L44" s="61"/>
      <c r="M44" s="61"/>
      <c r="N44" s="61"/>
      <c r="O44" s="61"/>
      <c r="P44" s="61"/>
      <c r="Q44" s="180"/>
      <c r="R44" s="28"/>
    </row>
    <row r="45" spans="1:18" x14ac:dyDescent="0.25">
      <c r="A45" s="168"/>
      <c r="B45" s="160"/>
      <c r="C45" s="160"/>
      <c r="D45" s="54" t="s">
        <v>14</v>
      </c>
      <c r="E45" s="46">
        <f>SUM(F45:J45)</f>
        <v>0</v>
      </c>
      <c r="F45" s="46"/>
      <c r="G45" s="46"/>
      <c r="H45" s="46"/>
      <c r="I45" s="46"/>
      <c r="J45" s="46"/>
      <c r="K45" s="61"/>
      <c r="L45" s="61"/>
      <c r="M45" s="61"/>
      <c r="N45" s="61"/>
      <c r="O45" s="61"/>
      <c r="P45" s="61"/>
      <c r="Q45" s="181"/>
      <c r="R45" s="28"/>
    </row>
    <row r="46" spans="1:18" x14ac:dyDescent="0.25">
      <c r="A46" s="166"/>
      <c r="B46" s="158"/>
      <c r="C46" s="158" t="s">
        <v>173</v>
      </c>
      <c r="D46" s="54" t="s">
        <v>9</v>
      </c>
      <c r="E46" s="46">
        <f t="shared" ref="E46:J46" si="7">SUM(E47:E51)</f>
        <v>45</v>
      </c>
      <c r="F46" s="46">
        <f t="shared" si="7"/>
        <v>15</v>
      </c>
      <c r="G46" s="46">
        <f t="shared" si="7"/>
        <v>15</v>
      </c>
      <c r="H46" s="46">
        <f t="shared" si="7"/>
        <v>0</v>
      </c>
      <c r="I46" s="46">
        <f t="shared" si="7"/>
        <v>0</v>
      </c>
      <c r="J46" s="46">
        <f t="shared" si="7"/>
        <v>15</v>
      </c>
      <c r="K46" s="61"/>
      <c r="L46" s="61"/>
      <c r="M46" s="61"/>
      <c r="N46" s="61"/>
      <c r="O46" s="61"/>
      <c r="P46" s="61"/>
      <c r="Q46" s="179" t="s">
        <v>230</v>
      </c>
      <c r="R46" s="28"/>
    </row>
    <row r="47" spans="1:18" x14ac:dyDescent="0.25">
      <c r="A47" s="167"/>
      <c r="B47" s="159"/>
      <c r="C47" s="159"/>
      <c r="D47" s="155" t="s">
        <v>10</v>
      </c>
      <c r="E47" s="156"/>
      <c r="F47" s="156"/>
      <c r="G47" s="156"/>
      <c r="H47" s="156"/>
      <c r="I47" s="156"/>
      <c r="J47" s="157"/>
      <c r="K47" s="61"/>
      <c r="L47" s="61"/>
      <c r="M47" s="61"/>
      <c r="N47" s="61"/>
      <c r="O47" s="61"/>
      <c r="P47" s="61"/>
      <c r="Q47" s="180"/>
      <c r="R47" s="28"/>
    </row>
    <row r="48" spans="1:18" x14ac:dyDescent="0.25">
      <c r="A48" s="167"/>
      <c r="B48" s="159"/>
      <c r="C48" s="159"/>
      <c r="D48" s="54" t="s">
        <v>11</v>
      </c>
      <c r="E48" s="46">
        <f>SUM(F48:J48)</f>
        <v>45</v>
      </c>
      <c r="F48" s="46">
        <v>15</v>
      </c>
      <c r="G48" s="46">
        <v>15</v>
      </c>
      <c r="H48" s="46"/>
      <c r="I48" s="46"/>
      <c r="J48" s="46">
        <v>15</v>
      </c>
      <c r="K48" s="61"/>
      <c r="L48" s="61"/>
      <c r="M48" s="61"/>
      <c r="N48" s="61"/>
      <c r="O48" s="61"/>
      <c r="P48" s="61"/>
      <c r="Q48" s="180"/>
      <c r="R48" s="28"/>
    </row>
    <row r="49" spans="1:18" x14ac:dyDescent="0.25">
      <c r="A49" s="167"/>
      <c r="B49" s="159"/>
      <c r="C49" s="159"/>
      <c r="D49" s="54" t="s">
        <v>12</v>
      </c>
      <c r="E49" s="46">
        <f>SUM(F49:J49)</f>
        <v>0</v>
      </c>
      <c r="F49" s="46"/>
      <c r="G49" s="46"/>
      <c r="H49" s="46"/>
      <c r="I49" s="46"/>
      <c r="J49" s="46"/>
      <c r="K49" s="61"/>
      <c r="L49" s="61"/>
      <c r="M49" s="61"/>
      <c r="N49" s="61"/>
      <c r="O49" s="61"/>
      <c r="P49" s="61"/>
      <c r="Q49" s="180"/>
      <c r="R49" s="28"/>
    </row>
    <row r="50" spans="1:18" x14ac:dyDescent="0.25">
      <c r="A50" s="167"/>
      <c r="B50" s="159"/>
      <c r="C50" s="159"/>
      <c r="D50" s="54" t="s">
        <v>13</v>
      </c>
      <c r="E50" s="46">
        <f>SUM(F50:J50)</f>
        <v>0</v>
      </c>
      <c r="F50" s="46"/>
      <c r="G50" s="46"/>
      <c r="H50" s="46"/>
      <c r="I50" s="46"/>
      <c r="J50" s="46"/>
      <c r="K50" s="61"/>
      <c r="L50" s="61"/>
      <c r="M50" s="61"/>
      <c r="N50" s="61"/>
      <c r="O50" s="61"/>
      <c r="P50" s="61"/>
      <c r="Q50" s="180"/>
      <c r="R50" s="28"/>
    </row>
    <row r="51" spans="1:18" x14ac:dyDescent="0.25">
      <c r="A51" s="168"/>
      <c r="B51" s="160"/>
      <c r="C51" s="160"/>
      <c r="D51" s="54" t="s">
        <v>14</v>
      </c>
      <c r="E51" s="46">
        <f>SUM(F51:J51)</f>
        <v>0</v>
      </c>
      <c r="F51" s="46"/>
      <c r="G51" s="46"/>
      <c r="H51" s="46"/>
      <c r="I51" s="46"/>
      <c r="J51" s="46"/>
      <c r="K51" s="61"/>
      <c r="L51" s="61"/>
      <c r="M51" s="61"/>
      <c r="N51" s="61"/>
      <c r="O51" s="61"/>
      <c r="P51" s="61"/>
      <c r="Q51" s="181"/>
      <c r="R51" s="28"/>
    </row>
    <row r="52" spans="1:18" x14ac:dyDescent="0.25">
      <c r="A52" s="166"/>
      <c r="B52" s="158"/>
      <c r="C52" s="158" t="s">
        <v>173</v>
      </c>
      <c r="D52" s="54" t="s">
        <v>9</v>
      </c>
      <c r="E52" s="46">
        <f t="shared" ref="E52:J52" si="8">SUM(E53:E57)</f>
        <v>93.41</v>
      </c>
      <c r="F52" s="46">
        <f t="shared" si="8"/>
        <v>63.41</v>
      </c>
      <c r="G52" s="46">
        <f t="shared" si="8"/>
        <v>15</v>
      </c>
      <c r="H52" s="46">
        <f t="shared" si="8"/>
        <v>0</v>
      </c>
      <c r="I52" s="46">
        <f t="shared" si="8"/>
        <v>0</v>
      </c>
      <c r="J52" s="46">
        <f t="shared" si="8"/>
        <v>15</v>
      </c>
      <c r="K52" s="61"/>
      <c r="L52" s="61"/>
      <c r="M52" s="61"/>
      <c r="N52" s="61"/>
      <c r="O52" s="61"/>
      <c r="P52" s="61"/>
      <c r="Q52" s="179" t="s">
        <v>231</v>
      </c>
      <c r="R52" s="28"/>
    </row>
    <row r="53" spans="1:18" x14ac:dyDescent="0.25">
      <c r="A53" s="167"/>
      <c r="B53" s="159"/>
      <c r="C53" s="159"/>
      <c r="D53" s="155" t="s">
        <v>10</v>
      </c>
      <c r="E53" s="156"/>
      <c r="F53" s="156"/>
      <c r="G53" s="156"/>
      <c r="H53" s="156"/>
      <c r="I53" s="156"/>
      <c r="J53" s="157"/>
      <c r="K53" s="61"/>
      <c r="L53" s="61"/>
      <c r="M53" s="61"/>
      <c r="N53" s="61"/>
      <c r="O53" s="61"/>
      <c r="P53" s="61"/>
      <c r="Q53" s="180"/>
      <c r="R53" s="28"/>
    </row>
    <row r="54" spans="1:18" x14ac:dyDescent="0.25">
      <c r="A54" s="167"/>
      <c r="B54" s="159"/>
      <c r="C54" s="159"/>
      <c r="D54" s="54" t="s">
        <v>11</v>
      </c>
      <c r="E54" s="46">
        <f>SUM(F54:J54)</f>
        <v>93.41</v>
      </c>
      <c r="F54" s="46">
        <f>15+48.41</f>
        <v>63.41</v>
      </c>
      <c r="G54" s="46">
        <v>15</v>
      </c>
      <c r="H54" s="46"/>
      <c r="I54" s="46"/>
      <c r="J54" s="46">
        <v>15</v>
      </c>
      <c r="K54" s="61"/>
      <c r="L54" s="61"/>
      <c r="M54" s="61"/>
      <c r="N54" s="61"/>
      <c r="O54" s="61"/>
      <c r="P54" s="61"/>
      <c r="Q54" s="180"/>
      <c r="R54" s="28"/>
    </row>
    <row r="55" spans="1:18" x14ac:dyDescent="0.25">
      <c r="A55" s="167"/>
      <c r="B55" s="159"/>
      <c r="C55" s="159"/>
      <c r="D55" s="54" t="s">
        <v>12</v>
      </c>
      <c r="E55" s="46">
        <f>SUM(F55:J55)</f>
        <v>0</v>
      </c>
      <c r="F55" s="46"/>
      <c r="G55" s="46"/>
      <c r="H55" s="46"/>
      <c r="I55" s="46"/>
      <c r="J55" s="46"/>
      <c r="K55" s="61"/>
      <c r="L55" s="61"/>
      <c r="M55" s="61"/>
      <c r="N55" s="61"/>
      <c r="O55" s="61"/>
      <c r="P55" s="61"/>
      <c r="Q55" s="180"/>
      <c r="R55" s="28"/>
    </row>
    <row r="56" spans="1:18" x14ac:dyDescent="0.25">
      <c r="A56" s="167"/>
      <c r="B56" s="159"/>
      <c r="C56" s="159"/>
      <c r="D56" s="54" t="s">
        <v>13</v>
      </c>
      <c r="E56" s="46">
        <f>SUM(F56:J56)</f>
        <v>0</v>
      </c>
      <c r="F56" s="46"/>
      <c r="G56" s="46"/>
      <c r="H56" s="46"/>
      <c r="I56" s="46"/>
      <c r="J56" s="46"/>
      <c r="K56" s="61"/>
      <c r="L56" s="61"/>
      <c r="M56" s="61"/>
      <c r="N56" s="61"/>
      <c r="O56" s="61"/>
      <c r="P56" s="61"/>
      <c r="Q56" s="180"/>
      <c r="R56" s="28"/>
    </row>
    <row r="57" spans="1:18" x14ac:dyDescent="0.25">
      <c r="A57" s="168"/>
      <c r="B57" s="160"/>
      <c r="C57" s="160"/>
      <c r="D57" s="54" t="s">
        <v>14</v>
      </c>
      <c r="E57" s="46">
        <f>SUM(F57:J57)</f>
        <v>0</v>
      </c>
      <c r="F57" s="46"/>
      <c r="G57" s="46"/>
      <c r="H57" s="46"/>
      <c r="I57" s="46"/>
      <c r="J57" s="46"/>
      <c r="K57" s="61"/>
      <c r="L57" s="61"/>
      <c r="M57" s="61"/>
      <c r="N57" s="61"/>
      <c r="O57" s="61"/>
      <c r="P57" s="61"/>
      <c r="Q57" s="181"/>
      <c r="R57" s="28"/>
    </row>
    <row r="58" spans="1:18" ht="14.45" customHeight="1" x14ac:dyDescent="0.25">
      <c r="A58" s="166"/>
      <c r="B58" s="158"/>
      <c r="C58" s="158" t="s">
        <v>167</v>
      </c>
      <c r="D58" s="54" t="s">
        <v>9</v>
      </c>
      <c r="E58" s="46">
        <f t="shared" ref="E58:J58" si="9">SUM(E59:E63)</f>
        <v>0</v>
      </c>
      <c r="F58" s="46">
        <f t="shared" si="9"/>
        <v>0</v>
      </c>
      <c r="G58" s="46">
        <f t="shared" si="9"/>
        <v>0</v>
      </c>
      <c r="H58" s="46">
        <f t="shared" si="9"/>
        <v>0</v>
      </c>
      <c r="I58" s="46">
        <f t="shared" si="9"/>
        <v>0</v>
      </c>
      <c r="J58" s="46">
        <f t="shared" si="9"/>
        <v>0</v>
      </c>
      <c r="K58" s="61"/>
      <c r="L58" s="61"/>
      <c r="M58" s="61"/>
      <c r="N58" s="61"/>
      <c r="O58" s="61"/>
      <c r="P58" s="61"/>
      <c r="Q58" s="179" t="s">
        <v>161</v>
      </c>
      <c r="R58" s="28"/>
    </row>
    <row r="59" spans="1:18" x14ac:dyDescent="0.25">
      <c r="A59" s="167"/>
      <c r="B59" s="159"/>
      <c r="C59" s="159"/>
      <c r="D59" s="155" t="s">
        <v>10</v>
      </c>
      <c r="E59" s="156"/>
      <c r="F59" s="156"/>
      <c r="G59" s="156"/>
      <c r="H59" s="156"/>
      <c r="I59" s="156"/>
      <c r="J59" s="157"/>
      <c r="K59" s="61"/>
      <c r="L59" s="61"/>
      <c r="M59" s="61"/>
      <c r="N59" s="61"/>
      <c r="O59" s="61"/>
      <c r="P59" s="61"/>
      <c r="Q59" s="180"/>
      <c r="R59" s="28"/>
    </row>
    <row r="60" spans="1:18" x14ac:dyDescent="0.25">
      <c r="A60" s="167"/>
      <c r="B60" s="159"/>
      <c r="C60" s="159"/>
      <c r="D60" s="54" t="s">
        <v>11</v>
      </c>
      <c r="E60" s="46">
        <f>SUM(F60:J60)</f>
        <v>0</v>
      </c>
      <c r="F60" s="46">
        <v>0</v>
      </c>
      <c r="G60" s="46"/>
      <c r="H60" s="46"/>
      <c r="I60" s="46"/>
      <c r="J60" s="46">
        <v>0</v>
      </c>
      <c r="K60" s="61"/>
      <c r="L60" s="61"/>
      <c r="M60" s="61"/>
      <c r="N60" s="61"/>
      <c r="O60" s="61"/>
      <c r="P60" s="61"/>
      <c r="Q60" s="180"/>
      <c r="R60" s="28"/>
    </row>
    <row r="61" spans="1:18" x14ac:dyDescent="0.25">
      <c r="A61" s="167"/>
      <c r="B61" s="159"/>
      <c r="C61" s="159"/>
      <c r="D61" s="54" t="s">
        <v>12</v>
      </c>
      <c r="E61" s="46">
        <f>SUM(F61:J61)</f>
        <v>0</v>
      </c>
      <c r="F61" s="46"/>
      <c r="G61" s="46"/>
      <c r="H61" s="46"/>
      <c r="I61" s="46"/>
      <c r="J61" s="46"/>
      <c r="K61" s="61"/>
      <c r="L61" s="61"/>
      <c r="M61" s="61"/>
      <c r="N61" s="61"/>
      <c r="O61" s="61"/>
      <c r="P61" s="61"/>
      <c r="Q61" s="180"/>
      <c r="R61" s="28"/>
    </row>
    <row r="62" spans="1:18" x14ac:dyDescent="0.25">
      <c r="A62" s="167"/>
      <c r="B62" s="159"/>
      <c r="C62" s="159"/>
      <c r="D62" s="54" t="s">
        <v>13</v>
      </c>
      <c r="E62" s="46">
        <f>SUM(F62:J62)</f>
        <v>0</v>
      </c>
      <c r="F62" s="46"/>
      <c r="G62" s="46"/>
      <c r="H62" s="46"/>
      <c r="I62" s="46"/>
      <c r="J62" s="46"/>
      <c r="K62" s="61"/>
      <c r="L62" s="61"/>
      <c r="M62" s="61"/>
      <c r="N62" s="61"/>
      <c r="O62" s="61"/>
      <c r="P62" s="61"/>
      <c r="Q62" s="180"/>
      <c r="R62" s="28"/>
    </row>
    <row r="63" spans="1:18" x14ac:dyDescent="0.25">
      <c r="A63" s="168"/>
      <c r="B63" s="160"/>
      <c r="C63" s="160"/>
      <c r="D63" s="54" t="s">
        <v>14</v>
      </c>
      <c r="E63" s="46">
        <f>SUM(F63:J63)</f>
        <v>0</v>
      </c>
      <c r="F63" s="46"/>
      <c r="G63" s="46"/>
      <c r="H63" s="46"/>
      <c r="I63" s="46"/>
      <c r="J63" s="46"/>
      <c r="K63" s="61"/>
      <c r="L63" s="61"/>
      <c r="M63" s="61"/>
      <c r="N63" s="61"/>
      <c r="O63" s="61"/>
      <c r="P63" s="61"/>
      <c r="Q63" s="181"/>
      <c r="R63" s="28"/>
    </row>
    <row r="64" spans="1:18" ht="66" customHeight="1" x14ac:dyDescent="0.25">
      <c r="A64" s="166" t="s">
        <v>15</v>
      </c>
      <c r="B64" s="158" t="s">
        <v>244</v>
      </c>
      <c r="C64" s="158" t="s">
        <v>164</v>
      </c>
      <c r="D64" s="54" t="s">
        <v>9</v>
      </c>
      <c r="E64" s="46">
        <f t="shared" ref="E64:J64" si="10">SUM(E65:E69)</f>
        <v>2840.5739700000004</v>
      </c>
      <c r="F64" s="46">
        <f t="shared" si="10"/>
        <v>2840.5739700000004</v>
      </c>
      <c r="G64" s="46">
        <f t="shared" si="10"/>
        <v>0</v>
      </c>
      <c r="H64" s="46">
        <f t="shared" si="10"/>
        <v>0</v>
      </c>
      <c r="I64" s="46">
        <f t="shared" si="10"/>
        <v>0</v>
      </c>
      <c r="J64" s="46">
        <f t="shared" si="10"/>
        <v>0</v>
      </c>
      <c r="K64" s="61"/>
      <c r="L64" s="61"/>
      <c r="M64" s="61"/>
      <c r="N64" s="61"/>
      <c r="O64" s="61"/>
      <c r="P64" s="61"/>
      <c r="Q64" s="179" t="s">
        <v>180</v>
      </c>
      <c r="R64" s="28"/>
    </row>
    <row r="65" spans="1:18" ht="74.25" customHeight="1" x14ac:dyDescent="0.25">
      <c r="A65" s="167"/>
      <c r="B65" s="159"/>
      <c r="C65" s="159"/>
      <c r="D65" s="155" t="s">
        <v>10</v>
      </c>
      <c r="E65" s="156"/>
      <c r="F65" s="156"/>
      <c r="G65" s="156"/>
      <c r="H65" s="156"/>
      <c r="I65" s="156"/>
      <c r="J65" s="157"/>
      <c r="K65" s="61"/>
      <c r="L65" s="61"/>
      <c r="M65" s="61"/>
      <c r="N65" s="61"/>
      <c r="O65" s="61"/>
      <c r="P65" s="61"/>
      <c r="Q65" s="180"/>
      <c r="R65" s="28"/>
    </row>
    <row r="66" spans="1:18" x14ac:dyDescent="0.25">
      <c r="A66" s="167"/>
      <c r="B66" s="159"/>
      <c r="C66" s="159"/>
      <c r="D66" s="54" t="s">
        <v>11</v>
      </c>
      <c r="E66" s="46">
        <f>SUM(F66:J66)</f>
        <v>606.45804999999996</v>
      </c>
      <c r="F66" s="46">
        <f>F72+F78</f>
        <v>606.45804999999996</v>
      </c>
      <c r="G66" s="46">
        <f>G72+G78</f>
        <v>0</v>
      </c>
      <c r="H66" s="46">
        <f>H72+H78</f>
        <v>0</v>
      </c>
      <c r="I66" s="46">
        <f>I72+I78</f>
        <v>0</v>
      </c>
      <c r="J66" s="46">
        <f>J72+J78</f>
        <v>0</v>
      </c>
      <c r="K66" s="61"/>
      <c r="L66" s="61"/>
      <c r="M66" s="61"/>
      <c r="N66" s="61"/>
      <c r="O66" s="61"/>
      <c r="P66" s="61"/>
      <c r="Q66" s="180"/>
      <c r="R66" s="28"/>
    </row>
    <row r="67" spans="1:18" x14ac:dyDescent="0.25">
      <c r="A67" s="167"/>
      <c r="B67" s="159"/>
      <c r="C67" s="159"/>
      <c r="D67" s="54" t="s">
        <v>12</v>
      </c>
      <c r="E67" s="46">
        <f>SUM(F67:J67)</f>
        <v>0</v>
      </c>
      <c r="F67" s="46">
        <f t="shared" ref="F67:J69" si="11">F73+F79</f>
        <v>0</v>
      </c>
      <c r="G67" s="46">
        <f t="shared" si="11"/>
        <v>0</v>
      </c>
      <c r="H67" s="46">
        <f t="shared" si="11"/>
        <v>0</v>
      </c>
      <c r="I67" s="46">
        <f t="shared" si="11"/>
        <v>0</v>
      </c>
      <c r="J67" s="46">
        <f t="shared" si="11"/>
        <v>0</v>
      </c>
      <c r="K67" s="61"/>
      <c r="L67" s="61"/>
      <c r="M67" s="61"/>
      <c r="N67" s="61"/>
      <c r="O67" s="61"/>
      <c r="P67" s="61"/>
      <c r="Q67" s="180"/>
      <c r="R67" s="28"/>
    </row>
    <row r="68" spans="1:18" x14ac:dyDescent="0.25">
      <c r="A68" s="167"/>
      <c r="B68" s="159"/>
      <c r="C68" s="159"/>
      <c r="D68" s="54" t="s">
        <v>13</v>
      </c>
      <c r="E68" s="46">
        <f>SUM(F68:J68)</f>
        <v>2234.1159200000002</v>
      </c>
      <c r="F68" s="46">
        <f t="shared" si="11"/>
        <v>2234.1159200000002</v>
      </c>
      <c r="G68" s="46">
        <f t="shared" si="11"/>
        <v>0</v>
      </c>
      <c r="H68" s="46">
        <f t="shared" si="11"/>
        <v>0</v>
      </c>
      <c r="I68" s="46">
        <f t="shared" si="11"/>
        <v>0</v>
      </c>
      <c r="J68" s="46">
        <f t="shared" si="11"/>
        <v>0</v>
      </c>
      <c r="K68" s="61"/>
      <c r="L68" s="61"/>
      <c r="M68" s="61"/>
      <c r="N68" s="61"/>
      <c r="O68" s="61"/>
      <c r="P68" s="61"/>
      <c r="Q68" s="180"/>
      <c r="R68" s="28"/>
    </row>
    <row r="69" spans="1:18" x14ac:dyDescent="0.25">
      <c r="A69" s="168"/>
      <c r="B69" s="160"/>
      <c r="C69" s="160"/>
      <c r="D69" s="54" t="s">
        <v>14</v>
      </c>
      <c r="E69" s="46">
        <f>SUM(F69:J69)</f>
        <v>0</v>
      </c>
      <c r="F69" s="46">
        <f t="shared" si="11"/>
        <v>0</v>
      </c>
      <c r="G69" s="46">
        <f t="shared" si="11"/>
        <v>0</v>
      </c>
      <c r="H69" s="46">
        <f t="shared" si="11"/>
        <v>0</v>
      </c>
      <c r="I69" s="46">
        <f t="shared" si="11"/>
        <v>0</v>
      </c>
      <c r="J69" s="46">
        <f t="shared" si="11"/>
        <v>0</v>
      </c>
      <c r="K69" s="61"/>
      <c r="L69" s="61"/>
      <c r="M69" s="61"/>
      <c r="N69" s="61"/>
      <c r="O69" s="61"/>
      <c r="P69" s="61"/>
      <c r="Q69" s="181"/>
      <c r="R69" s="28"/>
    </row>
    <row r="70" spans="1:18" ht="14.45" customHeight="1" x14ac:dyDescent="0.25">
      <c r="A70" s="166"/>
      <c r="B70" s="158"/>
      <c r="C70" s="158" t="s">
        <v>164</v>
      </c>
      <c r="D70" s="54" t="s">
        <v>9</v>
      </c>
      <c r="E70" s="46">
        <f t="shared" ref="E70:J70" si="12">SUM(E71:E75)</f>
        <v>1364.7234800000001</v>
      </c>
      <c r="F70" s="46">
        <f t="shared" si="12"/>
        <v>1364.7234800000001</v>
      </c>
      <c r="G70" s="46">
        <f t="shared" si="12"/>
        <v>0</v>
      </c>
      <c r="H70" s="46">
        <f t="shared" si="12"/>
        <v>0</v>
      </c>
      <c r="I70" s="46">
        <f t="shared" si="12"/>
        <v>0</v>
      </c>
      <c r="J70" s="46">
        <f t="shared" si="12"/>
        <v>0</v>
      </c>
      <c r="K70" s="61"/>
      <c r="L70" s="61"/>
      <c r="M70" s="61"/>
      <c r="N70" s="61"/>
      <c r="O70" s="61"/>
      <c r="P70" s="61"/>
      <c r="Q70" s="179" t="s">
        <v>70</v>
      </c>
      <c r="R70" s="28"/>
    </row>
    <row r="71" spans="1:18" x14ac:dyDescent="0.25">
      <c r="A71" s="167"/>
      <c r="B71" s="159"/>
      <c r="C71" s="159"/>
      <c r="D71" s="155" t="s">
        <v>10</v>
      </c>
      <c r="E71" s="156"/>
      <c r="F71" s="156"/>
      <c r="G71" s="156"/>
      <c r="H71" s="156"/>
      <c r="I71" s="156"/>
      <c r="J71" s="157"/>
      <c r="K71" s="61"/>
      <c r="L71" s="61"/>
      <c r="M71" s="61"/>
      <c r="N71" s="61"/>
      <c r="O71" s="61"/>
      <c r="P71" s="61"/>
      <c r="Q71" s="180"/>
      <c r="R71" s="28"/>
    </row>
    <row r="72" spans="1:18" x14ac:dyDescent="0.25">
      <c r="A72" s="167"/>
      <c r="B72" s="159"/>
      <c r="C72" s="159"/>
      <c r="D72" s="54" t="s">
        <v>11</v>
      </c>
      <c r="E72" s="46">
        <f>SUM(F72:J72)</f>
        <v>247.66551999999999</v>
      </c>
      <c r="F72" s="46">
        <f>58.79252+188.873</f>
        <v>247.66551999999999</v>
      </c>
      <c r="G72" s="46"/>
      <c r="H72" s="46"/>
      <c r="I72" s="46"/>
      <c r="J72" s="46"/>
      <c r="K72" s="61"/>
      <c r="L72" s="61"/>
      <c r="M72" s="61"/>
      <c r="N72" s="61"/>
      <c r="O72" s="61"/>
      <c r="P72" s="61"/>
      <c r="Q72" s="180"/>
      <c r="R72" s="28"/>
    </row>
    <row r="73" spans="1:18" x14ac:dyDescent="0.25">
      <c r="A73" s="167"/>
      <c r="B73" s="159"/>
      <c r="C73" s="159"/>
      <c r="D73" s="54" t="s">
        <v>12</v>
      </c>
      <c r="E73" s="46">
        <f>SUM(F73:J73)</f>
        <v>0</v>
      </c>
      <c r="F73" s="46"/>
      <c r="G73" s="46"/>
      <c r="H73" s="46"/>
      <c r="I73" s="46"/>
      <c r="J73" s="46"/>
      <c r="K73" s="61"/>
      <c r="L73" s="61"/>
      <c r="M73" s="61"/>
      <c r="N73" s="61"/>
      <c r="O73" s="61"/>
      <c r="P73" s="61"/>
      <c r="Q73" s="180"/>
      <c r="R73" s="28"/>
    </row>
    <row r="74" spans="1:18" x14ac:dyDescent="0.25">
      <c r="A74" s="167"/>
      <c r="B74" s="159"/>
      <c r="C74" s="159"/>
      <c r="D74" s="54" t="s">
        <v>13</v>
      </c>
      <c r="E74" s="46">
        <f>SUM(F74:J74)</f>
        <v>1117.0579600000001</v>
      </c>
      <c r="F74" s="46">
        <v>1117.0579600000001</v>
      </c>
      <c r="G74" s="46"/>
      <c r="H74" s="46"/>
      <c r="I74" s="46"/>
      <c r="J74" s="46"/>
      <c r="K74" s="61"/>
      <c r="L74" s="61"/>
      <c r="M74" s="61"/>
      <c r="N74" s="61"/>
      <c r="O74" s="61"/>
      <c r="P74" s="61"/>
      <c r="Q74" s="180"/>
      <c r="R74" s="28"/>
    </row>
    <row r="75" spans="1:18" x14ac:dyDescent="0.25">
      <c r="A75" s="168"/>
      <c r="B75" s="160"/>
      <c r="C75" s="160"/>
      <c r="D75" s="54" t="s">
        <v>14</v>
      </c>
      <c r="E75" s="46">
        <f>SUM(F75:J75)</f>
        <v>0</v>
      </c>
      <c r="F75" s="46"/>
      <c r="G75" s="46"/>
      <c r="H75" s="46"/>
      <c r="I75" s="46"/>
      <c r="J75" s="46"/>
      <c r="K75" s="61"/>
      <c r="L75" s="61"/>
      <c r="M75" s="61"/>
      <c r="N75" s="61"/>
      <c r="O75" s="61"/>
      <c r="P75" s="61"/>
      <c r="Q75" s="181"/>
      <c r="R75" s="28"/>
    </row>
    <row r="76" spans="1:18" ht="14.45" customHeight="1" x14ac:dyDescent="0.25">
      <c r="A76" s="166"/>
      <c r="B76" s="158"/>
      <c r="C76" s="158" t="s">
        <v>164</v>
      </c>
      <c r="D76" s="54" t="s">
        <v>9</v>
      </c>
      <c r="E76" s="46">
        <f t="shared" ref="E76:J76" si="13">SUM(E77:E81)</f>
        <v>1475.85049</v>
      </c>
      <c r="F76" s="46">
        <f t="shared" si="13"/>
        <v>1475.85049</v>
      </c>
      <c r="G76" s="46">
        <f t="shared" si="13"/>
        <v>0</v>
      </c>
      <c r="H76" s="46">
        <f t="shared" si="13"/>
        <v>0</v>
      </c>
      <c r="I76" s="46">
        <f t="shared" si="13"/>
        <v>0</v>
      </c>
      <c r="J76" s="46">
        <f t="shared" si="13"/>
        <v>0</v>
      </c>
      <c r="K76" s="61"/>
      <c r="L76" s="61"/>
      <c r="M76" s="61"/>
      <c r="N76" s="61"/>
      <c r="O76" s="61"/>
      <c r="P76" s="61"/>
      <c r="Q76" s="179" t="s">
        <v>174</v>
      </c>
      <c r="R76" s="28"/>
    </row>
    <row r="77" spans="1:18" x14ac:dyDescent="0.25">
      <c r="A77" s="167"/>
      <c r="B77" s="159"/>
      <c r="C77" s="159"/>
      <c r="D77" s="155" t="s">
        <v>10</v>
      </c>
      <c r="E77" s="156"/>
      <c r="F77" s="156"/>
      <c r="G77" s="156"/>
      <c r="H77" s="156"/>
      <c r="I77" s="156"/>
      <c r="J77" s="157"/>
      <c r="K77" s="61"/>
      <c r="L77" s="61"/>
      <c r="M77" s="61"/>
      <c r="N77" s="61"/>
      <c r="O77" s="61"/>
      <c r="P77" s="61"/>
      <c r="Q77" s="180"/>
      <c r="R77" s="28"/>
    </row>
    <row r="78" spans="1:18" x14ac:dyDescent="0.25">
      <c r="A78" s="167"/>
      <c r="B78" s="159"/>
      <c r="C78" s="159"/>
      <c r="D78" s="54" t="s">
        <v>11</v>
      </c>
      <c r="E78" s="46">
        <f>SUM(F78:J78)</f>
        <v>358.79253</v>
      </c>
      <c r="F78" s="46">
        <f>58.79253+300</f>
        <v>358.79253</v>
      </c>
      <c r="G78" s="46"/>
      <c r="H78" s="46"/>
      <c r="I78" s="46"/>
      <c r="J78" s="46"/>
      <c r="K78" s="61"/>
      <c r="L78" s="61"/>
      <c r="M78" s="61"/>
      <c r="N78" s="61"/>
      <c r="O78" s="61"/>
      <c r="P78" s="61"/>
      <c r="Q78" s="180"/>
      <c r="R78" s="28"/>
    </row>
    <row r="79" spans="1:18" x14ac:dyDescent="0.25">
      <c r="A79" s="167"/>
      <c r="B79" s="159"/>
      <c r="C79" s="159"/>
      <c r="D79" s="54" t="s">
        <v>12</v>
      </c>
      <c r="E79" s="46">
        <f>SUM(F79:J79)</f>
        <v>0</v>
      </c>
      <c r="F79" s="46"/>
      <c r="G79" s="46"/>
      <c r="H79" s="46"/>
      <c r="I79" s="46"/>
      <c r="J79" s="46"/>
      <c r="K79" s="61"/>
      <c r="L79" s="61"/>
      <c r="M79" s="61"/>
      <c r="N79" s="61"/>
      <c r="O79" s="61"/>
      <c r="P79" s="61"/>
      <c r="Q79" s="180"/>
      <c r="R79" s="28"/>
    </row>
    <row r="80" spans="1:18" x14ac:dyDescent="0.25">
      <c r="A80" s="167"/>
      <c r="B80" s="159"/>
      <c r="C80" s="159"/>
      <c r="D80" s="54" t="s">
        <v>13</v>
      </c>
      <c r="E80" s="46">
        <f>SUM(F80:J80)</f>
        <v>1117.0579600000001</v>
      </c>
      <c r="F80" s="46">
        <v>1117.0579600000001</v>
      </c>
      <c r="G80" s="46"/>
      <c r="H80" s="46"/>
      <c r="I80" s="46"/>
      <c r="J80" s="46"/>
      <c r="K80" s="61"/>
      <c r="L80" s="61"/>
      <c r="M80" s="61"/>
      <c r="N80" s="61"/>
      <c r="O80" s="61"/>
      <c r="P80" s="61"/>
      <c r="Q80" s="180"/>
      <c r="R80" s="28"/>
    </row>
    <row r="81" spans="1:18" x14ac:dyDescent="0.25">
      <c r="A81" s="168"/>
      <c r="B81" s="160"/>
      <c r="C81" s="160"/>
      <c r="D81" s="54" t="s">
        <v>14</v>
      </c>
      <c r="E81" s="46">
        <f>SUM(F81:J81)</f>
        <v>0</v>
      </c>
      <c r="F81" s="46"/>
      <c r="G81" s="46"/>
      <c r="H81" s="46"/>
      <c r="I81" s="46"/>
      <c r="J81" s="46"/>
      <c r="K81" s="61"/>
      <c r="L81" s="61"/>
      <c r="M81" s="61"/>
      <c r="N81" s="61"/>
      <c r="O81" s="61"/>
      <c r="P81" s="61"/>
      <c r="Q81" s="181"/>
      <c r="R81" s="28"/>
    </row>
    <row r="82" spans="1:18" ht="14.45" customHeight="1" x14ac:dyDescent="0.25">
      <c r="A82" s="166" t="s">
        <v>216</v>
      </c>
      <c r="B82" s="158" t="s">
        <v>232</v>
      </c>
      <c r="C82" s="158" t="s">
        <v>164</v>
      </c>
      <c r="D82" s="54" t="s">
        <v>9</v>
      </c>
      <c r="E82" s="46">
        <f t="shared" ref="E82:J82" si="14">SUM(E83:E87)</f>
        <v>2460.8346000000001</v>
      </c>
      <c r="F82" s="46">
        <f t="shared" si="14"/>
        <v>2460.8346000000001</v>
      </c>
      <c r="G82" s="46">
        <f t="shared" si="14"/>
        <v>0</v>
      </c>
      <c r="H82" s="46">
        <f t="shared" si="14"/>
        <v>0</v>
      </c>
      <c r="I82" s="46">
        <f t="shared" si="14"/>
        <v>0</v>
      </c>
      <c r="J82" s="46">
        <f t="shared" si="14"/>
        <v>0</v>
      </c>
      <c r="K82" s="61"/>
      <c r="L82" s="61"/>
      <c r="M82" s="61"/>
      <c r="N82" s="61"/>
      <c r="O82" s="61"/>
      <c r="P82" s="61"/>
      <c r="Q82" s="182" t="s">
        <v>58</v>
      </c>
      <c r="R82" s="28"/>
    </row>
    <row r="83" spans="1:18" x14ac:dyDescent="0.25">
      <c r="A83" s="167"/>
      <c r="B83" s="159"/>
      <c r="C83" s="159"/>
      <c r="D83" s="155" t="s">
        <v>10</v>
      </c>
      <c r="E83" s="156"/>
      <c r="F83" s="156"/>
      <c r="G83" s="156"/>
      <c r="H83" s="156"/>
      <c r="I83" s="156"/>
      <c r="J83" s="157"/>
      <c r="K83" s="61"/>
      <c r="L83" s="61"/>
      <c r="M83" s="61"/>
      <c r="N83" s="61"/>
      <c r="O83" s="61"/>
      <c r="P83" s="61"/>
      <c r="Q83" s="162"/>
      <c r="R83" s="28"/>
    </row>
    <row r="84" spans="1:18" x14ac:dyDescent="0.25">
      <c r="A84" s="167"/>
      <c r="B84" s="159"/>
      <c r="C84" s="159"/>
      <c r="D84" s="54" t="s">
        <v>11</v>
      </c>
      <c r="E84" s="46">
        <f>SUM(F84:J84)</f>
        <v>2460.8346000000001</v>
      </c>
      <c r="F84" s="46">
        <f>F90+F96+F102+F108+F114+F120+F126</f>
        <v>2460.8346000000001</v>
      </c>
      <c r="G84" s="46">
        <f>G90+G96+G102+G108+G114+G120+G126</f>
        <v>0</v>
      </c>
      <c r="H84" s="46">
        <f>H90+H96+H102+H108+H114+H120+H126</f>
        <v>0</v>
      </c>
      <c r="I84" s="46">
        <f>I90+I96+I102+I108+I114+I120+I126</f>
        <v>0</v>
      </c>
      <c r="J84" s="46">
        <f>J90+J96+J102+J108+J114+J120+J126</f>
        <v>0</v>
      </c>
      <c r="K84" s="61"/>
      <c r="L84" s="61"/>
      <c r="M84" s="61"/>
      <c r="N84" s="61"/>
      <c r="O84" s="61"/>
      <c r="P84" s="61"/>
      <c r="Q84" s="162"/>
      <c r="R84" s="28"/>
    </row>
    <row r="85" spans="1:18" x14ac:dyDescent="0.25">
      <c r="A85" s="167"/>
      <c r="B85" s="159"/>
      <c r="C85" s="159"/>
      <c r="D85" s="54" t="s">
        <v>12</v>
      </c>
      <c r="E85" s="46">
        <f>SUM(F85:J85)</f>
        <v>0</v>
      </c>
      <c r="F85" s="46">
        <f t="shared" ref="F85:J87" si="15">F91+F97+F103+F109+F115+F121+F127</f>
        <v>0</v>
      </c>
      <c r="G85" s="46">
        <f t="shared" si="15"/>
        <v>0</v>
      </c>
      <c r="H85" s="46">
        <f t="shared" si="15"/>
        <v>0</v>
      </c>
      <c r="I85" s="46">
        <f t="shared" si="15"/>
        <v>0</v>
      </c>
      <c r="J85" s="46">
        <f t="shared" si="15"/>
        <v>0</v>
      </c>
      <c r="K85" s="61"/>
      <c r="L85" s="61"/>
      <c r="M85" s="61"/>
      <c r="N85" s="61"/>
      <c r="O85" s="61"/>
      <c r="P85" s="61"/>
      <c r="Q85" s="162"/>
      <c r="R85" s="28"/>
    </row>
    <row r="86" spans="1:18" x14ac:dyDescent="0.25">
      <c r="A86" s="167"/>
      <c r="B86" s="159"/>
      <c r="C86" s="159"/>
      <c r="D86" s="54" t="s">
        <v>13</v>
      </c>
      <c r="E86" s="46">
        <f>SUM(F86:J86)</f>
        <v>0</v>
      </c>
      <c r="F86" s="46">
        <f t="shared" si="15"/>
        <v>0</v>
      </c>
      <c r="G86" s="46">
        <f t="shared" si="15"/>
        <v>0</v>
      </c>
      <c r="H86" s="46">
        <f t="shared" si="15"/>
        <v>0</v>
      </c>
      <c r="I86" s="46">
        <f t="shared" si="15"/>
        <v>0</v>
      </c>
      <c r="J86" s="46">
        <f t="shared" si="15"/>
        <v>0</v>
      </c>
      <c r="K86" s="61"/>
      <c r="L86" s="61"/>
      <c r="M86" s="61"/>
      <c r="N86" s="61"/>
      <c r="O86" s="61"/>
      <c r="P86" s="61"/>
      <c r="Q86" s="162"/>
      <c r="R86" s="28"/>
    </row>
    <row r="87" spans="1:18" x14ac:dyDescent="0.25">
      <c r="A87" s="168"/>
      <c r="B87" s="160"/>
      <c r="C87" s="160"/>
      <c r="D87" s="54" t="s">
        <v>14</v>
      </c>
      <c r="E87" s="46">
        <f>SUM(F87:J87)</f>
        <v>0</v>
      </c>
      <c r="F87" s="46">
        <f t="shared" si="15"/>
        <v>0</v>
      </c>
      <c r="G87" s="46">
        <f t="shared" si="15"/>
        <v>0</v>
      </c>
      <c r="H87" s="46">
        <f t="shared" si="15"/>
        <v>0</v>
      </c>
      <c r="I87" s="46">
        <f t="shared" si="15"/>
        <v>0</v>
      </c>
      <c r="J87" s="46">
        <f t="shared" si="15"/>
        <v>0</v>
      </c>
      <c r="K87" s="61"/>
      <c r="L87" s="61"/>
      <c r="M87" s="61"/>
      <c r="N87" s="61"/>
      <c r="O87" s="61"/>
      <c r="P87" s="61"/>
      <c r="Q87" s="163"/>
      <c r="R87" s="28"/>
    </row>
    <row r="88" spans="1:18" x14ac:dyDescent="0.25">
      <c r="A88" s="166"/>
      <c r="B88" s="158"/>
      <c r="C88" s="158" t="s">
        <v>164</v>
      </c>
      <c r="D88" s="54" t="s">
        <v>9</v>
      </c>
      <c r="E88" s="46">
        <f t="shared" ref="E88:J88" si="16">SUM(E89:E93)</f>
        <v>350</v>
      </c>
      <c r="F88" s="46">
        <f t="shared" si="16"/>
        <v>350</v>
      </c>
      <c r="G88" s="46">
        <f t="shared" si="16"/>
        <v>0</v>
      </c>
      <c r="H88" s="46">
        <f t="shared" si="16"/>
        <v>0</v>
      </c>
      <c r="I88" s="46">
        <f t="shared" si="16"/>
        <v>0</v>
      </c>
      <c r="J88" s="46">
        <f t="shared" si="16"/>
        <v>0</v>
      </c>
      <c r="K88" s="61"/>
      <c r="L88" s="61"/>
      <c r="M88" s="61"/>
      <c r="N88" s="61"/>
      <c r="O88" s="61"/>
      <c r="P88" s="61"/>
      <c r="Q88" s="179" t="s">
        <v>225</v>
      </c>
      <c r="R88" s="28"/>
    </row>
    <row r="89" spans="1:18" x14ac:dyDescent="0.25">
      <c r="A89" s="167"/>
      <c r="B89" s="159"/>
      <c r="C89" s="159"/>
      <c r="D89" s="155" t="s">
        <v>10</v>
      </c>
      <c r="E89" s="156"/>
      <c r="F89" s="156"/>
      <c r="G89" s="156"/>
      <c r="H89" s="156"/>
      <c r="I89" s="156"/>
      <c r="J89" s="157"/>
      <c r="K89" s="61"/>
      <c r="L89" s="61"/>
      <c r="M89" s="61"/>
      <c r="N89" s="61"/>
      <c r="O89" s="61"/>
      <c r="P89" s="61"/>
      <c r="Q89" s="180"/>
      <c r="R89" s="28"/>
    </row>
    <row r="90" spans="1:18" x14ac:dyDescent="0.25">
      <c r="A90" s="167"/>
      <c r="B90" s="159"/>
      <c r="C90" s="159"/>
      <c r="D90" s="54" t="s">
        <v>11</v>
      </c>
      <c r="E90" s="46">
        <f>SUM(F90:J90)</f>
        <v>350</v>
      </c>
      <c r="F90" s="46">
        <v>350</v>
      </c>
      <c r="G90" s="46"/>
      <c r="H90" s="46"/>
      <c r="I90" s="46"/>
      <c r="J90" s="46"/>
      <c r="K90" s="61"/>
      <c r="L90" s="61"/>
      <c r="M90" s="61"/>
      <c r="N90" s="61"/>
      <c r="O90" s="61"/>
      <c r="P90" s="61"/>
      <c r="Q90" s="180"/>
      <c r="R90" s="28"/>
    </row>
    <row r="91" spans="1:18" x14ac:dyDescent="0.25">
      <c r="A91" s="167"/>
      <c r="B91" s="159"/>
      <c r="C91" s="159"/>
      <c r="D91" s="54" t="s">
        <v>12</v>
      </c>
      <c r="E91" s="46">
        <f>SUM(F91:J91)</f>
        <v>0</v>
      </c>
      <c r="F91" s="46"/>
      <c r="G91" s="46"/>
      <c r="H91" s="46"/>
      <c r="I91" s="46"/>
      <c r="J91" s="46"/>
      <c r="K91" s="61"/>
      <c r="L91" s="61"/>
      <c r="M91" s="61"/>
      <c r="N91" s="61"/>
      <c r="O91" s="61"/>
      <c r="P91" s="61"/>
      <c r="Q91" s="180"/>
      <c r="R91" s="28"/>
    </row>
    <row r="92" spans="1:18" x14ac:dyDescent="0.25">
      <c r="A92" s="167"/>
      <c r="B92" s="159"/>
      <c r="C92" s="159"/>
      <c r="D92" s="54" t="s">
        <v>13</v>
      </c>
      <c r="E92" s="46">
        <f>SUM(F92:J92)</f>
        <v>0</v>
      </c>
      <c r="F92" s="46"/>
      <c r="G92" s="46"/>
      <c r="H92" s="46"/>
      <c r="I92" s="46"/>
      <c r="J92" s="46"/>
      <c r="K92" s="61"/>
      <c r="L92" s="61"/>
      <c r="M92" s="61"/>
      <c r="N92" s="61"/>
      <c r="O92" s="61"/>
      <c r="P92" s="61"/>
      <c r="Q92" s="180"/>
      <c r="R92" s="28"/>
    </row>
    <row r="93" spans="1:18" x14ac:dyDescent="0.25">
      <c r="A93" s="168"/>
      <c r="B93" s="160"/>
      <c r="C93" s="160"/>
      <c r="D93" s="54" t="s">
        <v>14</v>
      </c>
      <c r="E93" s="46">
        <f>SUM(F93:J93)</f>
        <v>0</v>
      </c>
      <c r="F93" s="46"/>
      <c r="G93" s="46"/>
      <c r="H93" s="46"/>
      <c r="I93" s="46"/>
      <c r="J93" s="46"/>
      <c r="K93" s="61"/>
      <c r="L93" s="61"/>
      <c r="M93" s="61"/>
      <c r="N93" s="61"/>
      <c r="O93" s="61"/>
      <c r="P93" s="61"/>
      <c r="Q93" s="181"/>
      <c r="R93" s="28"/>
    </row>
    <row r="94" spans="1:18" x14ac:dyDescent="0.25">
      <c r="A94" s="166"/>
      <c r="B94" s="158"/>
      <c r="C94" s="158" t="s">
        <v>164</v>
      </c>
      <c r="D94" s="54" t="s">
        <v>9</v>
      </c>
      <c r="E94" s="46">
        <f t="shared" ref="E94:J94" si="17">SUM(E95:E99)</f>
        <v>350</v>
      </c>
      <c r="F94" s="46">
        <f t="shared" si="17"/>
        <v>350</v>
      </c>
      <c r="G94" s="46">
        <f t="shared" si="17"/>
        <v>0</v>
      </c>
      <c r="H94" s="46">
        <f t="shared" si="17"/>
        <v>0</v>
      </c>
      <c r="I94" s="46">
        <f t="shared" si="17"/>
        <v>0</v>
      </c>
      <c r="J94" s="46">
        <f t="shared" si="17"/>
        <v>0</v>
      </c>
      <c r="K94" s="61"/>
      <c r="L94" s="61"/>
      <c r="M94" s="61"/>
      <c r="N94" s="61"/>
      <c r="O94" s="61"/>
      <c r="P94" s="61"/>
      <c r="Q94" s="179" t="s">
        <v>226</v>
      </c>
      <c r="R94" s="28"/>
    </row>
    <row r="95" spans="1:18" x14ac:dyDescent="0.25">
      <c r="A95" s="167"/>
      <c r="B95" s="159"/>
      <c r="C95" s="159"/>
      <c r="D95" s="155" t="s">
        <v>10</v>
      </c>
      <c r="E95" s="156"/>
      <c r="F95" s="156"/>
      <c r="G95" s="156"/>
      <c r="H95" s="156"/>
      <c r="I95" s="156"/>
      <c r="J95" s="157"/>
      <c r="K95" s="61"/>
      <c r="L95" s="61"/>
      <c r="M95" s="61"/>
      <c r="N95" s="61"/>
      <c r="O95" s="61"/>
      <c r="P95" s="61"/>
      <c r="Q95" s="180"/>
      <c r="R95" s="28"/>
    </row>
    <row r="96" spans="1:18" x14ac:dyDescent="0.25">
      <c r="A96" s="167"/>
      <c r="B96" s="159"/>
      <c r="C96" s="159"/>
      <c r="D96" s="54" t="s">
        <v>11</v>
      </c>
      <c r="E96" s="46">
        <f>SUM(F96:J96)</f>
        <v>350</v>
      </c>
      <c r="F96" s="46">
        <v>350</v>
      </c>
      <c r="G96" s="46"/>
      <c r="H96" s="46"/>
      <c r="I96" s="46"/>
      <c r="J96" s="46"/>
      <c r="K96" s="61"/>
      <c r="L96" s="61"/>
      <c r="M96" s="61"/>
      <c r="N96" s="61"/>
      <c r="O96" s="61"/>
      <c r="P96" s="61"/>
      <c r="Q96" s="180"/>
      <c r="R96" s="28"/>
    </row>
    <row r="97" spans="1:18" x14ac:dyDescent="0.25">
      <c r="A97" s="167"/>
      <c r="B97" s="159"/>
      <c r="C97" s="159"/>
      <c r="D97" s="54" t="s">
        <v>12</v>
      </c>
      <c r="E97" s="46">
        <f>SUM(F97:J97)</f>
        <v>0</v>
      </c>
      <c r="F97" s="46"/>
      <c r="G97" s="46"/>
      <c r="H97" s="46"/>
      <c r="I97" s="46"/>
      <c r="J97" s="46"/>
      <c r="K97" s="61"/>
      <c r="L97" s="61"/>
      <c r="M97" s="61"/>
      <c r="N97" s="61"/>
      <c r="O97" s="61"/>
      <c r="P97" s="61"/>
      <c r="Q97" s="180"/>
      <c r="R97" s="28"/>
    </row>
    <row r="98" spans="1:18" x14ac:dyDescent="0.25">
      <c r="A98" s="167"/>
      <c r="B98" s="159"/>
      <c r="C98" s="159"/>
      <c r="D98" s="54" t="s">
        <v>13</v>
      </c>
      <c r="E98" s="46">
        <f>SUM(F98:J98)</f>
        <v>0</v>
      </c>
      <c r="F98" s="46"/>
      <c r="G98" s="46"/>
      <c r="H98" s="46"/>
      <c r="I98" s="46"/>
      <c r="J98" s="46"/>
      <c r="K98" s="61"/>
      <c r="L98" s="61"/>
      <c r="M98" s="61"/>
      <c r="N98" s="61"/>
      <c r="O98" s="61"/>
      <c r="P98" s="61"/>
      <c r="Q98" s="180"/>
      <c r="R98" s="28"/>
    </row>
    <row r="99" spans="1:18" x14ac:dyDescent="0.25">
      <c r="A99" s="168"/>
      <c r="B99" s="160"/>
      <c r="C99" s="160"/>
      <c r="D99" s="54" t="s">
        <v>14</v>
      </c>
      <c r="E99" s="46">
        <f>SUM(F99:J99)</f>
        <v>0</v>
      </c>
      <c r="F99" s="46"/>
      <c r="G99" s="46"/>
      <c r="H99" s="46"/>
      <c r="I99" s="46"/>
      <c r="J99" s="46"/>
      <c r="K99" s="61"/>
      <c r="L99" s="61"/>
      <c r="M99" s="61"/>
      <c r="N99" s="61"/>
      <c r="O99" s="61"/>
      <c r="P99" s="61"/>
      <c r="Q99" s="181"/>
      <c r="R99" s="28"/>
    </row>
    <row r="100" spans="1:18" x14ac:dyDescent="0.25">
      <c r="A100" s="166"/>
      <c r="B100" s="158"/>
      <c r="C100" s="158" t="s">
        <v>164</v>
      </c>
      <c r="D100" s="54" t="s">
        <v>9</v>
      </c>
      <c r="E100" s="46">
        <f t="shared" ref="E100:J100" si="18">SUM(E101:E105)</f>
        <v>600</v>
      </c>
      <c r="F100" s="46">
        <f t="shared" si="18"/>
        <v>600</v>
      </c>
      <c r="G100" s="46">
        <f t="shared" si="18"/>
        <v>0</v>
      </c>
      <c r="H100" s="46">
        <f t="shared" si="18"/>
        <v>0</v>
      </c>
      <c r="I100" s="46">
        <f t="shared" si="18"/>
        <v>0</v>
      </c>
      <c r="J100" s="46">
        <f t="shared" si="18"/>
        <v>0</v>
      </c>
      <c r="K100" s="61"/>
      <c r="L100" s="61"/>
      <c r="M100" s="61"/>
      <c r="N100" s="61"/>
      <c r="O100" s="61"/>
      <c r="P100" s="61"/>
      <c r="Q100" s="179" t="s">
        <v>227</v>
      </c>
      <c r="R100" s="28"/>
    </row>
    <row r="101" spans="1:18" x14ac:dyDescent="0.25">
      <c r="A101" s="167"/>
      <c r="B101" s="159"/>
      <c r="C101" s="159"/>
      <c r="D101" s="155" t="s">
        <v>10</v>
      </c>
      <c r="E101" s="156"/>
      <c r="F101" s="156"/>
      <c r="G101" s="156"/>
      <c r="H101" s="156"/>
      <c r="I101" s="156"/>
      <c r="J101" s="157"/>
      <c r="K101" s="61"/>
      <c r="L101" s="61"/>
      <c r="M101" s="61"/>
      <c r="N101" s="61"/>
      <c r="O101" s="61"/>
      <c r="P101" s="61"/>
      <c r="Q101" s="180"/>
      <c r="R101" s="28"/>
    </row>
    <row r="102" spans="1:18" x14ac:dyDescent="0.25">
      <c r="A102" s="167"/>
      <c r="B102" s="159"/>
      <c r="C102" s="159"/>
      <c r="D102" s="54" t="s">
        <v>11</v>
      </c>
      <c r="E102" s="46">
        <f>SUM(F102:J102)</f>
        <v>600</v>
      </c>
      <c r="F102" s="46">
        <v>600</v>
      </c>
      <c r="G102" s="46">
        <v>0</v>
      </c>
      <c r="H102" s="46">
        <v>0</v>
      </c>
      <c r="I102" s="46">
        <v>0</v>
      </c>
      <c r="J102" s="46">
        <v>0</v>
      </c>
      <c r="K102" s="61"/>
      <c r="L102" s="61"/>
      <c r="M102" s="61"/>
      <c r="N102" s="61"/>
      <c r="O102" s="61"/>
      <c r="P102" s="61"/>
      <c r="Q102" s="180"/>
      <c r="R102" s="28"/>
    </row>
    <row r="103" spans="1:18" x14ac:dyDescent="0.25">
      <c r="A103" s="167"/>
      <c r="B103" s="159"/>
      <c r="C103" s="159"/>
      <c r="D103" s="54" t="s">
        <v>12</v>
      </c>
      <c r="E103" s="46">
        <f>SUM(F103:J103)</f>
        <v>0</v>
      </c>
      <c r="F103" s="46"/>
      <c r="G103" s="46"/>
      <c r="H103" s="46"/>
      <c r="I103" s="46"/>
      <c r="J103" s="46"/>
      <c r="K103" s="61"/>
      <c r="L103" s="61"/>
      <c r="M103" s="61"/>
      <c r="N103" s="61"/>
      <c r="O103" s="61"/>
      <c r="P103" s="61"/>
      <c r="Q103" s="180"/>
      <c r="R103" s="28"/>
    </row>
    <row r="104" spans="1:18" x14ac:dyDescent="0.25">
      <c r="A104" s="167"/>
      <c r="B104" s="159"/>
      <c r="C104" s="159"/>
      <c r="D104" s="54" t="s">
        <v>13</v>
      </c>
      <c r="E104" s="46">
        <f>SUM(F104:J104)</f>
        <v>0</v>
      </c>
      <c r="F104" s="46"/>
      <c r="G104" s="46"/>
      <c r="H104" s="46"/>
      <c r="I104" s="46"/>
      <c r="J104" s="46"/>
      <c r="K104" s="61"/>
      <c r="L104" s="61"/>
      <c r="M104" s="61"/>
      <c r="N104" s="61"/>
      <c r="O104" s="61"/>
      <c r="P104" s="61"/>
      <c r="Q104" s="180"/>
      <c r="R104" s="28"/>
    </row>
    <row r="105" spans="1:18" x14ac:dyDescent="0.25">
      <c r="A105" s="168"/>
      <c r="B105" s="160"/>
      <c r="C105" s="160"/>
      <c r="D105" s="54" t="s">
        <v>14</v>
      </c>
      <c r="E105" s="46">
        <f>SUM(F105:J105)</f>
        <v>0</v>
      </c>
      <c r="F105" s="46"/>
      <c r="G105" s="46"/>
      <c r="H105" s="46"/>
      <c r="I105" s="46"/>
      <c r="J105" s="46"/>
      <c r="K105" s="61"/>
      <c r="L105" s="61"/>
      <c r="M105" s="61"/>
      <c r="N105" s="61"/>
      <c r="O105" s="61"/>
      <c r="P105" s="61"/>
      <c r="Q105" s="181"/>
      <c r="R105" s="28"/>
    </row>
    <row r="106" spans="1:18" x14ac:dyDescent="0.25">
      <c r="A106" s="166"/>
      <c r="B106" s="158"/>
      <c r="C106" s="158" t="s">
        <v>164</v>
      </c>
      <c r="D106" s="54" t="s">
        <v>9</v>
      </c>
      <c r="E106" s="46">
        <f t="shared" ref="E106:J106" si="19">SUM(E107:E111)</f>
        <v>0</v>
      </c>
      <c r="F106" s="46">
        <f t="shared" si="19"/>
        <v>0</v>
      </c>
      <c r="G106" s="46">
        <f t="shared" si="19"/>
        <v>0</v>
      </c>
      <c r="H106" s="46">
        <f t="shared" si="19"/>
        <v>0</v>
      </c>
      <c r="I106" s="46">
        <f t="shared" si="19"/>
        <v>0</v>
      </c>
      <c r="J106" s="46">
        <f t="shared" si="19"/>
        <v>0</v>
      </c>
      <c r="K106" s="61"/>
      <c r="L106" s="61"/>
      <c r="M106" s="61"/>
      <c r="N106" s="61"/>
      <c r="O106" s="61"/>
      <c r="P106" s="61"/>
      <c r="Q106" s="179" t="s">
        <v>228</v>
      </c>
      <c r="R106" s="28"/>
    </row>
    <row r="107" spans="1:18" x14ac:dyDescent="0.25">
      <c r="A107" s="167"/>
      <c r="B107" s="159"/>
      <c r="C107" s="159"/>
      <c r="D107" s="155" t="s">
        <v>10</v>
      </c>
      <c r="E107" s="156"/>
      <c r="F107" s="156"/>
      <c r="G107" s="156"/>
      <c r="H107" s="156"/>
      <c r="I107" s="156"/>
      <c r="J107" s="157"/>
      <c r="K107" s="61"/>
      <c r="L107" s="61"/>
      <c r="M107" s="61"/>
      <c r="N107" s="61"/>
      <c r="O107" s="61"/>
      <c r="P107" s="61"/>
      <c r="Q107" s="180"/>
      <c r="R107" s="28"/>
    </row>
    <row r="108" spans="1:18" x14ac:dyDescent="0.25">
      <c r="A108" s="167"/>
      <c r="B108" s="159"/>
      <c r="C108" s="159"/>
      <c r="D108" s="54" t="s">
        <v>11</v>
      </c>
      <c r="E108" s="46">
        <f>SUM(F108:J108)</f>
        <v>0</v>
      </c>
      <c r="F108" s="46">
        <v>0</v>
      </c>
      <c r="G108" s="46">
        <v>0</v>
      </c>
      <c r="H108" s="46">
        <v>0</v>
      </c>
      <c r="I108" s="46">
        <v>0</v>
      </c>
      <c r="J108" s="46">
        <v>0</v>
      </c>
      <c r="K108" s="61"/>
      <c r="L108" s="61"/>
      <c r="M108" s="61"/>
      <c r="N108" s="61"/>
      <c r="O108" s="61"/>
      <c r="P108" s="61"/>
      <c r="Q108" s="180"/>
      <c r="R108" s="28"/>
    </row>
    <row r="109" spans="1:18" x14ac:dyDescent="0.25">
      <c r="A109" s="167"/>
      <c r="B109" s="159"/>
      <c r="C109" s="159"/>
      <c r="D109" s="54" t="s">
        <v>12</v>
      </c>
      <c r="E109" s="46">
        <f>SUM(F109:J109)</f>
        <v>0</v>
      </c>
      <c r="F109" s="46"/>
      <c r="G109" s="46"/>
      <c r="H109" s="46"/>
      <c r="I109" s="46"/>
      <c r="J109" s="46"/>
      <c r="K109" s="61"/>
      <c r="L109" s="61"/>
      <c r="M109" s="61"/>
      <c r="N109" s="61"/>
      <c r="O109" s="61"/>
      <c r="P109" s="61"/>
      <c r="Q109" s="180"/>
      <c r="R109" s="28"/>
    </row>
    <row r="110" spans="1:18" x14ac:dyDescent="0.25">
      <c r="A110" s="167"/>
      <c r="B110" s="159"/>
      <c r="C110" s="159"/>
      <c r="D110" s="54" t="s">
        <v>13</v>
      </c>
      <c r="E110" s="46">
        <f>SUM(F110:J110)</f>
        <v>0</v>
      </c>
      <c r="F110" s="46"/>
      <c r="G110" s="46"/>
      <c r="H110" s="46"/>
      <c r="I110" s="46"/>
      <c r="J110" s="46"/>
      <c r="K110" s="61"/>
      <c r="L110" s="61"/>
      <c r="M110" s="61"/>
      <c r="N110" s="61"/>
      <c r="O110" s="61"/>
      <c r="P110" s="61"/>
      <c r="Q110" s="180"/>
      <c r="R110" s="28"/>
    </row>
    <row r="111" spans="1:18" x14ac:dyDescent="0.25">
      <c r="A111" s="168"/>
      <c r="B111" s="160"/>
      <c r="C111" s="160"/>
      <c r="D111" s="54" t="s">
        <v>14</v>
      </c>
      <c r="E111" s="46">
        <f>SUM(F111:J111)</f>
        <v>0</v>
      </c>
      <c r="F111" s="46"/>
      <c r="G111" s="46"/>
      <c r="H111" s="46"/>
      <c r="I111" s="46"/>
      <c r="J111" s="46"/>
      <c r="K111" s="61"/>
      <c r="L111" s="61"/>
      <c r="M111" s="61"/>
      <c r="N111" s="61"/>
      <c r="O111" s="61"/>
      <c r="P111" s="61"/>
      <c r="Q111" s="181"/>
      <c r="R111" s="28"/>
    </row>
    <row r="112" spans="1:18" x14ac:dyDescent="0.25">
      <c r="A112" s="166"/>
      <c r="B112" s="158"/>
      <c r="C112" s="158" t="s">
        <v>164</v>
      </c>
      <c r="D112" s="54" t="s">
        <v>9</v>
      </c>
      <c r="E112" s="46">
        <f t="shared" ref="E112:J112" si="20">SUM(E113:E117)</f>
        <v>352.1</v>
      </c>
      <c r="F112" s="46">
        <f t="shared" si="20"/>
        <v>352.1</v>
      </c>
      <c r="G112" s="46">
        <f t="shared" si="20"/>
        <v>0</v>
      </c>
      <c r="H112" s="46">
        <f t="shared" si="20"/>
        <v>0</v>
      </c>
      <c r="I112" s="46">
        <f t="shared" si="20"/>
        <v>0</v>
      </c>
      <c r="J112" s="46">
        <f t="shared" si="20"/>
        <v>0</v>
      </c>
      <c r="K112" s="61"/>
      <c r="L112" s="61"/>
      <c r="M112" s="61"/>
      <c r="N112" s="61"/>
      <c r="O112" s="61"/>
      <c r="P112" s="61"/>
      <c r="Q112" s="179" t="s">
        <v>229</v>
      </c>
      <c r="R112" s="28"/>
    </row>
    <row r="113" spans="1:18" x14ac:dyDescent="0.25">
      <c r="A113" s="167"/>
      <c r="B113" s="159"/>
      <c r="C113" s="159"/>
      <c r="D113" s="155" t="s">
        <v>10</v>
      </c>
      <c r="E113" s="156"/>
      <c r="F113" s="156"/>
      <c r="G113" s="156"/>
      <c r="H113" s="156"/>
      <c r="I113" s="156"/>
      <c r="J113" s="157"/>
      <c r="K113" s="61"/>
      <c r="L113" s="61"/>
      <c r="M113" s="61"/>
      <c r="N113" s="61"/>
      <c r="O113" s="61"/>
      <c r="P113" s="61"/>
      <c r="Q113" s="180"/>
      <c r="R113" s="28"/>
    </row>
    <row r="114" spans="1:18" x14ac:dyDescent="0.25">
      <c r="A114" s="167"/>
      <c r="B114" s="159"/>
      <c r="C114" s="159"/>
      <c r="D114" s="54" t="s">
        <v>11</v>
      </c>
      <c r="E114" s="46">
        <f>SUM(F114:J114)</f>
        <v>352.1</v>
      </c>
      <c r="F114" s="46">
        <v>352.1</v>
      </c>
      <c r="G114" s="46">
        <v>0</v>
      </c>
      <c r="H114" s="46">
        <v>0</v>
      </c>
      <c r="I114" s="46">
        <v>0</v>
      </c>
      <c r="J114" s="46">
        <v>0</v>
      </c>
      <c r="K114" s="61"/>
      <c r="L114" s="61"/>
      <c r="M114" s="61"/>
      <c r="N114" s="61"/>
      <c r="O114" s="61"/>
      <c r="P114" s="61"/>
      <c r="Q114" s="180"/>
      <c r="R114" s="28"/>
    </row>
    <row r="115" spans="1:18" x14ac:dyDescent="0.25">
      <c r="A115" s="167"/>
      <c r="B115" s="159"/>
      <c r="C115" s="159"/>
      <c r="D115" s="54" t="s">
        <v>12</v>
      </c>
      <c r="E115" s="46">
        <f>SUM(F115:J115)</f>
        <v>0</v>
      </c>
      <c r="F115" s="46"/>
      <c r="G115" s="46"/>
      <c r="H115" s="46"/>
      <c r="I115" s="46"/>
      <c r="J115" s="46"/>
      <c r="K115" s="61"/>
      <c r="L115" s="61"/>
      <c r="M115" s="61"/>
      <c r="N115" s="61"/>
      <c r="O115" s="61"/>
      <c r="P115" s="61"/>
      <c r="Q115" s="180"/>
      <c r="R115" s="28"/>
    </row>
    <row r="116" spans="1:18" x14ac:dyDescent="0.25">
      <c r="A116" s="167"/>
      <c r="B116" s="159"/>
      <c r="C116" s="159"/>
      <c r="D116" s="54" t="s">
        <v>13</v>
      </c>
      <c r="E116" s="46">
        <f>SUM(F116:J116)</f>
        <v>0</v>
      </c>
      <c r="F116" s="46"/>
      <c r="G116" s="46"/>
      <c r="H116" s="46"/>
      <c r="I116" s="46"/>
      <c r="J116" s="46"/>
      <c r="K116" s="61"/>
      <c r="L116" s="61"/>
      <c r="M116" s="61"/>
      <c r="N116" s="61"/>
      <c r="O116" s="61"/>
      <c r="P116" s="61"/>
      <c r="Q116" s="180"/>
      <c r="R116" s="28"/>
    </row>
    <row r="117" spans="1:18" x14ac:dyDescent="0.25">
      <c r="A117" s="168"/>
      <c r="B117" s="160"/>
      <c r="C117" s="160"/>
      <c r="D117" s="54" t="s">
        <v>14</v>
      </c>
      <c r="E117" s="46">
        <f>SUM(F117:J117)</f>
        <v>0</v>
      </c>
      <c r="F117" s="46"/>
      <c r="G117" s="46"/>
      <c r="H117" s="46"/>
      <c r="I117" s="46"/>
      <c r="J117" s="46"/>
      <c r="K117" s="61"/>
      <c r="L117" s="61"/>
      <c r="M117" s="61"/>
      <c r="N117" s="61"/>
      <c r="O117" s="61"/>
      <c r="P117" s="61"/>
      <c r="Q117" s="181"/>
      <c r="R117" s="28"/>
    </row>
    <row r="118" spans="1:18" x14ac:dyDescent="0.25">
      <c r="A118" s="166"/>
      <c r="B118" s="158"/>
      <c r="C118" s="158" t="s">
        <v>164</v>
      </c>
      <c r="D118" s="54" t="s">
        <v>9</v>
      </c>
      <c r="E118" s="46">
        <f t="shared" ref="E118:J118" si="21">SUM(E119:E123)</f>
        <v>458.7346</v>
      </c>
      <c r="F118" s="46">
        <f t="shared" si="21"/>
        <v>458.7346</v>
      </c>
      <c r="G118" s="46">
        <f t="shared" si="21"/>
        <v>0</v>
      </c>
      <c r="H118" s="46">
        <f t="shared" si="21"/>
        <v>0</v>
      </c>
      <c r="I118" s="46">
        <f t="shared" si="21"/>
        <v>0</v>
      </c>
      <c r="J118" s="46">
        <f t="shared" si="21"/>
        <v>0</v>
      </c>
      <c r="K118" s="61"/>
      <c r="L118" s="61"/>
      <c r="M118" s="61"/>
      <c r="N118" s="61"/>
      <c r="O118" s="61"/>
      <c r="P118" s="61"/>
      <c r="Q118" s="179" t="s">
        <v>230</v>
      </c>
      <c r="R118" s="28"/>
    </row>
    <row r="119" spans="1:18" x14ac:dyDescent="0.25">
      <c r="A119" s="167"/>
      <c r="B119" s="159"/>
      <c r="C119" s="159"/>
      <c r="D119" s="155" t="s">
        <v>10</v>
      </c>
      <c r="E119" s="156"/>
      <c r="F119" s="156"/>
      <c r="G119" s="156"/>
      <c r="H119" s="156"/>
      <c r="I119" s="156"/>
      <c r="J119" s="157"/>
      <c r="K119" s="61"/>
      <c r="L119" s="61"/>
      <c r="M119" s="61"/>
      <c r="N119" s="61"/>
      <c r="O119" s="61"/>
      <c r="P119" s="61"/>
      <c r="Q119" s="180"/>
      <c r="R119" s="28"/>
    </row>
    <row r="120" spans="1:18" x14ac:dyDescent="0.25">
      <c r="A120" s="167"/>
      <c r="B120" s="159"/>
      <c r="C120" s="159"/>
      <c r="D120" s="54" t="s">
        <v>11</v>
      </c>
      <c r="E120" s="46">
        <f>SUM(F120:J120)</f>
        <v>458.7346</v>
      </c>
      <c r="F120" s="46">
        <v>458.7346</v>
      </c>
      <c r="G120" s="46">
        <v>0</v>
      </c>
      <c r="H120" s="46">
        <v>0</v>
      </c>
      <c r="I120" s="46">
        <v>0</v>
      </c>
      <c r="J120" s="46">
        <v>0</v>
      </c>
      <c r="K120" s="61"/>
      <c r="L120" s="61"/>
      <c r="M120" s="61"/>
      <c r="N120" s="61"/>
      <c r="O120" s="61"/>
      <c r="P120" s="61"/>
      <c r="Q120" s="180"/>
      <c r="R120" s="28"/>
    </row>
    <row r="121" spans="1:18" x14ac:dyDescent="0.25">
      <c r="A121" s="167"/>
      <c r="B121" s="159"/>
      <c r="C121" s="159"/>
      <c r="D121" s="54" t="s">
        <v>12</v>
      </c>
      <c r="E121" s="46">
        <f>SUM(F121:J121)</f>
        <v>0</v>
      </c>
      <c r="F121" s="46"/>
      <c r="G121" s="46"/>
      <c r="H121" s="46"/>
      <c r="I121" s="46"/>
      <c r="J121" s="46"/>
      <c r="K121" s="61"/>
      <c r="L121" s="61"/>
      <c r="M121" s="61"/>
      <c r="N121" s="61"/>
      <c r="O121" s="61"/>
      <c r="P121" s="61"/>
      <c r="Q121" s="180"/>
      <c r="R121" s="28"/>
    </row>
    <row r="122" spans="1:18" x14ac:dyDescent="0.25">
      <c r="A122" s="167"/>
      <c r="B122" s="159"/>
      <c r="C122" s="159"/>
      <c r="D122" s="54" t="s">
        <v>13</v>
      </c>
      <c r="E122" s="46">
        <f>SUM(F122:J122)</f>
        <v>0</v>
      </c>
      <c r="F122" s="46"/>
      <c r="G122" s="46"/>
      <c r="H122" s="46"/>
      <c r="I122" s="46"/>
      <c r="J122" s="46"/>
      <c r="K122" s="61"/>
      <c r="L122" s="61"/>
      <c r="M122" s="61"/>
      <c r="N122" s="61"/>
      <c r="O122" s="61"/>
      <c r="P122" s="61"/>
      <c r="Q122" s="180"/>
      <c r="R122" s="28"/>
    </row>
    <row r="123" spans="1:18" x14ac:dyDescent="0.25">
      <c r="A123" s="168"/>
      <c r="B123" s="160"/>
      <c r="C123" s="160"/>
      <c r="D123" s="54" t="s">
        <v>14</v>
      </c>
      <c r="E123" s="46">
        <f>SUM(F123:J123)</f>
        <v>0</v>
      </c>
      <c r="F123" s="46"/>
      <c r="G123" s="46"/>
      <c r="H123" s="46"/>
      <c r="I123" s="46"/>
      <c r="J123" s="46"/>
      <c r="K123" s="61"/>
      <c r="L123" s="61"/>
      <c r="M123" s="61"/>
      <c r="N123" s="61"/>
      <c r="O123" s="61"/>
      <c r="P123" s="61"/>
      <c r="Q123" s="181"/>
      <c r="R123" s="28"/>
    </row>
    <row r="124" spans="1:18" x14ac:dyDescent="0.25">
      <c r="A124" s="166"/>
      <c r="B124" s="158"/>
      <c r="C124" s="158" t="s">
        <v>164</v>
      </c>
      <c r="D124" s="54" t="s">
        <v>9</v>
      </c>
      <c r="E124" s="46">
        <f t="shared" ref="E124:J124" si="22">SUM(E125:E129)</f>
        <v>350</v>
      </c>
      <c r="F124" s="46">
        <f t="shared" si="22"/>
        <v>350</v>
      </c>
      <c r="G124" s="46">
        <f t="shared" si="22"/>
        <v>0</v>
      </c>
      <c r="H124" s="46">
        <f t="shared" si="22"/>
        <v>0</v>
      </c>
      <c r="I124" s="46">
        <f t="shared" si="22"/>
        <v>0</v>
      </c>
      <c r="J124" s="46">
        <f t="shared" si="22"/>
        <v>0</v>
      </c>
      <c r="K124" s="61"/>
      <c r="L124" s="61"/>
      <c r="M124" s="61"/>
      <c r="N124" s="61"/>
      <c r="O124" s="61"/>
      <c r="P124" s="61"/>
      <c r="Q124" s="179" t="s">
        <v>231</v>
      </c>
      <c r="R124" s="28"/>
    </row>
    <row r="125" spans="1:18" x14ac:dyDescent="0.25">
      <c r="A125" s="167"/>
      <c r="B125" s="159"/>
      <c r="C125" s="159"/>
      <c r="D125" s="155" t="s">
        <v>10</v>
      </c>
      <c r="E125" s="156"/>
      <c r="F125" s="156"/>
      <c r="G125" s="156"/>
      <c r="H125" s="156"/>
      <c r="I125" s="156"/>
      <c r="J125" s="157"/>
      <c r="K125" s="61"/>
      <c r="L125" s="61"/>
      <c r="M125" s="61"/>
      <c r="N125" s="61"/>
      <c r="O125" s="61"/>
      <c r="P125" s="61"/>
      <c r="Q125" s="180"/>
      <c r="R125" s="28"/>
    </row>
    <row r="126" spans="1:18" x14ac:dyDescent="0.25">
      <c r="A126" s="167"/>
      <c r="B126" s="159"/>
      <c r="C126" s="159"/>
      <c r="D126" s="54" t="s">
        <v>11</v>
      </c>
      <c r="E126" s="46">
        <f>SUM(F126:J126)</f>
        <v>350</v>
      </c>
      <c r="F126" s="46">
        <v>350</v>
      </c>
      <c r="G126" s="46">
        <v>0</v>
      </c>
      <c r="H126" s="46">
        <v>0</v>
      </c>
      <c r="I126" s="46">
        <v>0</v>
      </c>
      <c r="J126" s="46">
        <v>0</v>
      </c>
      <c r="K126" s="61"/>
      <c r="L126" s="61"/>
      <c r="M126" s="61"/>
      <c r="N126" s="61"/>
      <c r="O126" s="61"/>
      <c r="P126" s="61"/>
      <c r="Q126" s="180"/>
      <c r="R126" s="28"/>
    </row>
    <row r="127" spans="1:18" x14ac:dyDescent="0.25">
      <c r="A127" s="167"/>
      <c r="B127" s="159"/>
      <c r="C127" s="159"/>
      <c r="D127" s="54" t="s">
        <v>12</v>
      </c>
      <c r="E127" s="46">
        <f>SUM(F127:J127)</f>
        <v>0</v>
      </c>
      <c r="F127" s="46"/>
      <c r="G127" s="46"/>
      <c r="H127" s="46"/>
      <c r="I127" s="46"/>
      <c r="J127" s="46"/>
      <c r="K127" s="61"/>
      <c r="L127" s="61"/>
      <c r="M127" s="61"/>
      <c r="N127" s="61"/>
      <c r="O127" s="61"/>
      <c r="P127" s="61"/>
      <c r="Q127" s="180"/>
      <c r="R127" s="28"/>
    </row>
    <row r="128" spans="1:18" x14ac:dyDescent="0.25">
      <c r="A128" s="167"/>
      <c r="B128" s="159"/>
      <c r="C128" s="159"/>
      <c r="D128" s="54" t="s">
        <v>13</v>
      </c>
      <c r="E128" s="46">
        <f>SUM(F128:J128)</f>
        <v>0</v>
      </c>
      <c r="F128" s="46"/>
      <c r="G128" s="46"/>
      <c r="H128" s="46"/>
      <c r="I128" s="46"/>
      <c r="J128" s="46"/>
      <c r="K128" s="61"/>
      <c r="L128" s="61"/>
      <c r="M128" s="61"/>
      <c r="N128" s="61"/>
      <c r="O128" s="61"/>
      <c r="P128" s="61"/>
      <c r="Q128" s="180"/>
      <c r="R128" s="28"/>
    </row>
    <row r="129" spans="1:18" x14ac:dyDescent="0.25">
      <c r="A129" s="168"/>
      <c r="B129" s="160"/>
      <c r="C129" s="160"/>
      <c r="D129" s="54" t="s">
        <v>14</v>
      </c>
      <c r="E129" s="46">
        <f>SUM(F129:J129)</f>
        <v>0</v>
      </c>
      <c r="F129" s="46"/>
      <c r="G129" s="46"/>
      <c r="H129" s="46"/>
      <c r="I129" s="46"/>
      <c r="J129" s="46"/>
      <c r="K129" s="61"/>
      <c r="L129" s="61"/>
      <c r="M129" s="61"/>
      <c r="N129" s="61"/>
      <c r="O129" s="61"/>
      <c r="P129" s="61"/>
      <c r="Q129" s="181"/>
      <c r="R129" s="28"/>
    </row>
    <row r="130" spans="1:18" ht="15" customHeight="1" x14ac:dyDescent="0.25">
      <c r="A130" s="166" t="s">
        <v>217</v>
      </c>
      <c r="B130" s="158" t="s">
        <v>239</v>
      </c>
      <c r="C130" s="158" t="s">
        <v>285</v>
      </c>
      <c r="D130" s="54" t="s">
        <v>9</v>
      </c>
      <c r="E130" s="46">
        <f t="shared" ref="E130:J130" si="23">SUM(E131:E135)</f>
        <v>40</v>
      </c>
      <c r="F130" s="46">
        <f t="shared" si="23"/>
        <v>15</v>
      </c>
      <c r="G130" s="46">
        <f t="shared" si="23"/>
        <v>25</v>
      </c>
      <c r="H130" s="46">
        <f t="shared" si="23"/>
        <v>0</v>
      </c>
      <c r="I130" s="46">
        <f t="shared" si="23"/>
        <v>0</v>
      </c>
      <c r="J130" s="46">
        <f t="shared" si="23"/>
        <v>0</v>
      </c>
      <c r="K130" s="61"/>
      <c r="L130" s="61"/>
      <c r="M130" s="61"/>
      <c r="N130" s="61"/>
      <c r="O130" s="61"/>
      <c r="P130" s="61"/>
      <c r="Q130" s="179" t="s">
        <v>180</v>
      </c>
      <c r="R130" s="28"/>
    </row>
    <row r="131" spans="1:18" x14ac:dyDescent="0.25">
      <c r="A131" s="167"/>
      <c r="B131" s="159"/>
      <c r="C131" s="159"/>
      <c r="D131" s="155" t="s">
        <v>10</v>
      </c>
      <c r="E131" s="156"/>
      <c r="F131" s="156"/>
      <c r="G131" s="156"/>
      <c r="H131" s="156"/>
      <c r="I131" s="156"/>
      <c r="J131" s="157"/>
      <c r="K131" s="61"/>
      <c r="L131" s="61"/>
      <c r="M131" s="61"/>
      <c r="N131" s="61"/>
      <c r="O131" s="61"/>
      <c r="P131" s="61"/>
      <c r="Q131" s="180"/>
      <c r="R131" s="28"/>
    </row>
    <row r="132" spans="1:18" x14ac:dyDescent="0.25">
      <c r="A132" s="167"/>
      <c r="B132" s="159"/>
      <c r="C132" s="159"/>
      <c r="D132" s="54" t="s">
        <v>11</v>
      </c>
      <c r="E132" s="46">
        <f>SUM(F132:J132)</f>
        <v>40</v>
      </c>
      <c r="F132" s="46">
        <f>F138+F144</f>
        <v>15</v>
      </c>
      <c r="G132" s="46">
        <f t="shared" ref="G132:J132" si="24">G138+G144</f>
        <v>25</v>
      </c>
      <c r="H132" s="46">
        <f t="shared" si="24"/>
        <v>0</v>
      </c>
      <c r="I132" s="46">
        <f t="shared" si="24"/>
        <v>0</v>
      </c>
      <c r="J132" s="46">
        <f t="shared" si="24"/>
        <v>0</v>
      </c>
      <c r="K132" s="61"/>
      <c r="L132" s="61"/>
      <c r="M132" s="61"/>
      <c r="N132" s="61"/>
      <c r="O132" s="61"/>
      <c r="P132" s="61"/>
      <c r="Q132" s="180"/>
      <c r="R132" s="28"/>
    </row>
    <row r="133" spans="1:18" x14ac:dyDescent="0.25">
      <c r="A133" s="167"/>
      <c r="B133" s="159"/>
      <c r="C133" s="159"/>
      <c r="D133" s="54" t="s">
        <v>12</v>
      </c>
      <c r="E133" s="46">
        <f>SUM(F133:J133)</f>
        <v>0</v>
      </c>
      <c r="F133" s="46">
        <f t="shared" ref="F133:J135" si="25">F139+F145</f>
        <v>0</v>
      </c>
      <c r="G133" s="46">
        <f t="shared" si="25"/>
        <v>0</v>
      </c>
      <c r="H133" s="46">
        <f t="shared" si="25"/>
        <v>0</v>
      </c>
      <c r="I133" s="46">
        <f t="shared" si="25"/>
        <v>0</v>
      </c>
      <c r="J133" s="46">
        <f t="shared" si="25"/>
        <v>0</v>
      </c>
      <c r="K133" s="61"/>
      <c r="L133" s="61"/>
      <c r="M133" s="61"/>
      <c r="N133" s="61"/>
      <c r="O133" s="61"/>
      <c r="P133" s="61"/>
      <c r="Q133" s="180"/>
      <c r="R133" s="28"/>
    </row>
    <row r="134" spans="1:18" x14ac:dyDescent="0.25">
      <c r="A134" s="167"/>
      <c r="B134" s="159"/>
      <c r="C134" s="159"/>
      <c r="D134" s="54" t="s">
        <v>13</v>
      </c>
      <c r="E134" s="46">
        <f>SUM(F134:J134)</f>
        <v>0</v>
      </c>
      <c r="F134" s="46">
        <f t="shared" si="25"/>
        <v>0</v>
      </c>
      <c r="G134" s="46">
        <f t="shared" si="25"/>
        <v>0</v>
      </c>
      <c r="H134" s="46">
        <f t="shared" si="25"/>
        <v>0</v>
      </c>
      <c r="I134" s="46">
        <f t="shared" si="25"/>
        <v>0</v>
      </c>
      <c r="J134" s="46">
        <f t="shared" si="25"/>
        <v>0</v>
      </c>
      <c r="K134" s="61"/>
      <c r="L134" s="61"/>
      <c r="M134" s="61"/>
      <c r="N134" s="61"/>
      <c r="O134" s="61"/>
      <c r="P134" s="61"/>
      <c r="Q134" s="180"/>
      <c r="R134" s="28"/>
    </row>
    <row r="135" spans="1:18" x14ac:dyDescent="0.25">
      <c r="A135" s="168"/>
      <c r="B135" s="160"/>
      <c r="C135" s="160"/>
      <c r="D135" s="54" t="s">
        <v>14</v>
      </c>
      <c r="E135" s="46">
        <f>SUM(F135:J135)</f>
        <v>0</v>
      </c>
      <c r="F135" s="46">
        <f t="shared" si="25"/>
        <v>0</v>
      </c>
      <c r="G135" s="46">
        <f t="shared" si="25"/>
        <v>0</v>
      </c>
      <c r="H135" s="46">
        <f t="shared" si="25"/>
        <v>0</v>
      </c>
      <c r="I135" s="46">
        <f t="shared" si="25"/>
        <v>0</v>
      </c>
      <c r="J135" s="46">
        <f t="shared" si="25"/>
        <v>0</v>
      </c>
      <c r="K135" s="61"/>
      <c r="L135" s="61"/>
      <c r="M135" s="61"/>
      <c r="N135" s="61"/>
      <c r="O135" s="61"/>
      <c r="P135" s="61"/>
      <c r="Q135" s="181"/>
      <c r="R135" s="28"/>
    </row>
    <row r="136" spans="1:18" ht="14.45" customHeight="1" x14ac:dyDescent="0.25">
      <c r="A136" s="166"/>
      <c r="B136" s="158"/>
      <c r="C136" s="158" t="s">
        <v>164</v>
      </c>
      <c r="D136" s="54" t="s">
        <v>9</v>
      </c>
      <c r="E136" s="46">
        <f t="shared" ref="E136:J136" si="26">SUM(E137:E141)</f>
        <v>15</v>
      </c>
      <c r="F136" s="46">
        <f t="shared" si="26"/>
        <v>15</v>
      </c>
      <c r="G136" s="46">
        <f t="shared" si="26"/>
        <v>0</v>
      </c>
      <c r="H136" s="46">
        <f t="shared" si="26"/>
        <v>0</v>
      </c>
      <c r="I136" s="46">
        <f t="shared" si="26"/>
        <v>0</v>
      </c>
      <c r="J136" s="46">
        <f t="shared" si="26"/>
        <v>0</v>
      </c>
      <c r="K136" s="61"/>
      <c r="L136" s="61"/>
      <c r="M136" s="61"/>
      <c r="N136" s="61"/>
      <c r="O136" s="61"/>
      <c r="P136" s="61"/>
      <c r="Q136" s="179" t="s">
        <v>70</v>
      </c>
      <c r="R136" s="28"/>
    </row>
    <row r="137" spans="1:18" x14ac:dyDescent="0.25">
      <c r="A137" s="167"/>
      <c r="B137" s="159"/>
      <c r="C137" s="159"/>
      <c r="D137" s="155" t="s">
        <v>10</v>
      </c>
      <c r="E137" s="156"/>
      <c r="F137" s="156"/>
      <c r="G137" s="156"/>
      <c r="H137" s="156"/>
      <c r="I137" s="156"/>
      <c r="J137" s="157"/>
      <c r="K137" s="61"/>
      <c r="L137" s="61"/>
      <c r="M137" s="61"/>
      <c r="N137" s="61"/>
      <c r="O137" s="61"/>
      <c r="P137" s="61"/>
      <c r="Q137" s="180"/>
      <c r="R137" s="28"/>
    </row>
    <row r="138" spans="1:18" x14ac:dyDescent="0.25">
      <c r="A138" s="167"/>
      <c r="B138" s="159"/>
      <c r="C138" s="159"/>
      <c r="D138" s="54" t="s">
        <v>11</v>
      </c>
      <c r="E138" s="46">
        <f>SUM(F138:J138)</f>
        <v>15</v>
      </c>
      <c r="F138" s="46">
        <v>15</v>
      </c>
      <c r="G138" s="46">
        <v>0</v>
      </c>
      <c r="H138" s="46">
        <v>0</v>
      </c>
      <c r="I138" s="46">
        <v>0</v>
      </c>
      <c r="J138" s="46">
        <v>0</v>
      </c>
      <c r="K138" s="61"/>
      <c r="L138" s="61"/>
      <c r="M138" s="61"/>
      <c r="N138" s="61"/>
      <c r="O138" s="61"/>
      <c r="P138" s="61"/>
      <c r="Q138" s="180"/>
      <c r="R138" s="28"/>
    </row>
    <row r="139" spans="1:18" x14ac:dyDescent="0.25">
      <c r="A139" s="167"/>
      <c r="B139" s="159"/>
      <c r="C139" s="159"/>
      <c r="D139" s="54" t="s">
        <v>12</v>
      </c>
      <c r="E139" s="46">
        <f>SUM(F139:J139)</f>
        <v>0</v>
      </c>
      <c r="F139" s="46"/>
      <c r="G139" s="46"/>
      <c r="H139" s="46"/>
      <c r="I139" s="46"/>
      <c r="J139" s="46"/>
      <c r="K139" s="61"/>
      <c r="L139" s="61"/>
      <c r="M139" s="61"/>
      <c r="N139" s="61"/>
      <c r="O139" s="61"/>
      <c r="P139" s="61"/>
      <c r="Q139" s="180"/>
      <c r="R139" s="28"/>
    </row>
    <row r="140" spans="1:18" x14ac:dyDescent="0.25">
      <c r="A140" s="167"/>
      <c r="B140" s="159"/>
      <c r="C140" s="159"/>
      <c r="D140" s="54" t="s">
        <v>13</v>
      </c>
      <c r="E140" s="46">
        <f>SUM(F140:J140)</f>
        <v>0</v>
      </c>
      <c r="F140" s="46"/>
      <c r="G140" s="46"/>
      <c r="H140" s="46"/>
      <c r="I140" s="46"/>
      <c r="J140" s="46"/>
      <c r="K140" s="61"/>
      <c r="L140" s="61"/>
      <c r="M140" s="61"/>
      <c r="N140" s="61"/>
      <c r="O140" s="61"/>
      <c r="P140" s="61"/>
      <c r="Q140" s="180"/>
      <c r="R140" s="28"/>
    </row>
    <row r="141" spans="1:18" x14ac:dyDescent="0.25">
      <c r="A141" s="168"/>
      <c r="B141" s="160"/>
      <c r="C141" s="160"/>
      <c r="D141" s="54" t="s">
        <v>14</v>
      </c>
      <c r="E141" s="46">
        <f>SUM(F141:J141)</f>
        <v>0</v>
      </c>
      <c r="F141" s="46"/>
      <c r="G141" s="46"/>
      <c r="H141" s="46"/>
      <c r="I141" s="46"/>
      <c r="J141" s="46"/>
      <c r="K141" s="61"/>
      <c r="L141" s="61"/>
      <c r="M141" s="61"/>
      <c r="N141" s="61"/>
      <c r="O141" s="61"/>
      <c r="P141" s="61"/>
      <c r="Q141" s="181"/>
      <c r="R141" s="28"/>
    </row>
    <row r="142" spans="1:18" ht="14.45" customHeight="1" x14ac:dyDescent="0.25">
      <c r="A142" s="166"/>
      <c r="B142" s="158"/>
      <c r="C142" s="158" t="s">
        <v>165</v>
      </c>
      <c r="D142" s="54" t="s">
        <v>9</v>
      </c>
      <c r="E142" s="46">
        <f t="shared" ref="E142:J142" si="27">SUM(E143:E147)</f>
        <v>25</v>
      </c>
      <c r="F142" s="46">
        <f t="shared" si="27"/>
        <v>0</v>
      </c>
      <c r="G142" s="46">
        <f t="shared" si="27"/>
        <v>25</v>
      </c>
      <c r="H142" s="46">
        <f t="shared" si="27"/>
        <v>0</v>
      </c>
      <c r="I142" s="46">
        <f t="shared" si="27"/>
        <v>0</v>
      </c>
      <c r="J142" s="46">
        <f t="shared" si="27"/>
        <v>0</v>
      </c>
      <c r="K142" s="61"/>
      <c r="L142" s="61"/>
      <c r="M142" s="61"/>
      <c r="N142" s="61"/>
      <c r="O142" s="61"/>
      <c r="P142" s="61"/>
      <c r="Q142" s="179" t="s">
        <v>174</v>
      </c>
      <c r="R142" s="28"/>
    </row>
    <row r="143" spans="1:18" x14ac:dyDescent="0.25">
      <c r="A143" s="167"/>
      <c r="B143" s="159"/>
      <c r="C143" s="159"/>
      <c r="D143" s="155" t="s">
        <v>10</v>
      </c>
      <c r="E143" s="156"/>
      <c r="F143" s="156"/>
      <c r="G143" s="156"/>
      <c r="H143" s="156"/>
      <c r="I143" s="156"/>
      <c r="J143" s="157"/>
      <c r="K143" s="61"/>
      <c r="L143" s="61"/>
      <c r="M143" s="61"/>
      <c r="N143" s="61"/>
      <c r="O143" s="61"/>
      <c r="P143" s="61"/>
      <c r="Q143" s="180"/>
      <c r="R143" s="28"/>
    </row>
    <row r="144" spans="1:18" x14ac:dyDescent="0.25">
      <c r="A144" s="167"/>
      <c r="B144" s="159"/>
      <c r="C144" s="159"/>
      <c r="D144" s="54" t="s">
        <v>11</v>
      </c>
      <c r="E144" s="46">
        <f>SUM(F144:J144)</f>
        <v>25</v>
      </c>
      <c r="F144" s="46"/>
      <c r="G144" s="46">
        <v>25</v>
      </c>
      <c r="H144" s="46">
        <v>0</v>
      </c>
      <c r="I144" s="46">
        <v>0</v>
      </c>
      <c r="J144" s="46">
        <v>0</v>
      </c>
      <c r="K144" s="61"/>
      <c r="L144" s="61"/>
      <c r="M144" s="61"/>
      <c r="N144" s="61"/>
      <c r="O144" s="61"/>
      <c r="P144" s="61"/>
      <c r="Q144" s="180"/>
      <c r="R144" s="28"/>
    </row>
    <row r="145" spans="1:18" x14ac:dyDescent="0.25">
      <c r="A145" s="167"/>
      <c r="B145" s="159"/>
      <c r="C145" s="159"/>
      <c r="D145" s="54" t="s">
        <v>12</v>
      </c>
      <c r="E145" s="46">
        <f>SUM(F145:J145)</f>
        <v>0</v>
      </c>
      <c r="F145" s="46"/>
      <c r="G145" s="46"/>
      <c r="H145" s="46"/>
      <c r="I145" s="46"/>
      <c r="J145" s="46"/>
      <c r="K145" s="61"/>
      <c r="L145" s="61"/>
      <c r="M145" s="61"/>
      <c r="N145" s="61"/>
      <c r="O145" s="61"/>
      <c r="P145" s="61"/>
      <c r="Q145" s="180"/>
      <c r="R145" s="28"/>
    </row>
    <row r="146" spans="1:18" x14ac:dyDescent="0.25">
      <c r="A146" s="167"/>
      <c r="B146" s="159"/>
      <c r="C146" s="159"/>
      <c r="D146" s="54" t="s">
        <v>13</v>
      </c>
      <c r="E146" s="46">
        <f>SUM(F146:J146)</f>
        <v>0</v>
      </c>
      <c r="F146" s="46"/>
      <c r="G146" s="46"/>
      <c r="H146" s="46"/>
      <c r="I146" s="46"/>
      <c r="J146" s="46"/>
      <c r="K146" s="61"/>
      <c r="L146" s="61"/>
      <c r="M146" s="61"/>
      <c r="N146" s="61"/>
      <c r="O146" s="61"/>
      <c r="P146" s="61"/>
      <c r="Q146" s="180"/>
      <c r="R146" s="28"/>
    </row>
    <row r="147" spans="1:18" x14ac:dyDescent="0.25">
      <c r="A147" s="168"/>
      <c r="B147" s="160"/>
      <c r="C147" s="160"/>
      <c r="D147" s="54" t="s">
        <v>14</v>
      </c>
      <c r="E147" s="46">
        <f>SUM(F147:J147)</f>
        <v>0</v>
      </c>
      <c r="F147" s="46"/>
      <c r="G147" s="46"/>
      <c r="H147" s="46"/>
      <c r="I147" s="46"/>
      <c r="J147" s="46"/>
      <c r="K147" s="61"/>
      <c r="L147" s="61"/>
      <c r="M147" s="61"/>
      <c r="N147" s="61"/>
      <c r="O147" s="61"/>
      <c r="P147" s="61"/>
      <c r="Q147" s="181"/>
      <c r="R147" s="28"/>
    </row>
    <row r="148" spans="1:18" ht="15" customHeight="1" x14ac:dyDescent="0.25">
      <c r="A148" s="166" t="s">
        <v>240</v>
      </c>
      <c r="B148" s="158" t="s">
        <v>241</v>
      </c>
      <c r="C148" s="158" t="s">
        <v>164</v>
      </c>
      <c r="D148" s="54" t="s">
        <v>9</v>
      </c>
      <c r="E148" s="46">
        <f t="shared" ref="E148:J148" si="28">SUM(E149:E153)</f>
        <v>436.5</v>
      </c>
      <c r="F148" s="46">
        <f t="shared" si="28"/>
        <v>436.5</v>
      </c>
      <c r="G148" s="46">
        <f t="shared" si="28"/>
        <v>0</v>
      </c>
      <c r="H148" s="46">
        <f t="shared" si="28"/>
        <v>0</v>
      </c>
      <c r="I148" s="46">
        <f t="shared" si="28"/>
        <v>0</v>
      </c>
      <c r="J148" s="46">
        <f t="shared" si="28"/>
        <v>0</v>
      </c>
      <c r="K148" s="61"/>
      <c r="L148" s="61"/>
      <c r="M148" s="61"/>
      <c r="N148" s="61"/>
      <c r="O148" s="61"/>
      <c r="P148" s="61"/>
      <c r="Q148" s="179" t="s">
        <v>196</v>
      </c>
      <c r="R148" s="28"/>
    </row>
    <row r="149" spans="1:18" x14ac:dyDescent="0.25">
      <c r="A149" s="167"/>
      <c r="B149" s="159"/>
      <c r="C149" s="159"/>
      <c r="D149" s="155" t="s">
        <v>10</v>
      </c>
      <c r="E149" s="156"/>
      <c r="F149" s="156"/>
      <c r="G149" s="156"/>
      <c r="H149" s="156"/>
      <c r="I149" s="156"/>
      <c r="J149" s="157"/>
      <c r="K149" s="61"/>
      <c r="L149" s="61"/>
      <c r="M149" s="61"/>
      <c r="N149" s="61"/>
      <c r="O149" s="61"/>
      <c r="P149" s="61"/>
      <c r="Q149" s="180"/>
      <c r="R149" s="28"/>
    </row>
    <row r="150" spans="1:18" x14ac:dyDescent="0.25">
      <c r="A150" s="167"/>
      <c r="B150" s="159"/>
      <c r="C150" s="159"/>
      <c r="D150" s="54" t="s">
        <v>11</v>
      </c>
      <c r="E150" s="46">
        <f>SUM(F150:J150)</f>
        <v>436.5</v>
      </c>
      <c r="F150" s="46">
        <v>436.5</v>
      </c>
      <c r="G150" s="46"/>
      <c r="H150" s="46"/>
      <c r="I150" s="46"/>
      <c r="J150" s="46"/>
      <c r="K150" s="61"/>
      <c r="L150" s="61"/>
      <c r="M150" s="61"/>
      <c r="N150" s="61"/>
      <c r="O150" s="61"/>
      <c r="P150" s="61"/>
      <c r="Q150" s="180"/>
      <c r="R150" s="28"/>
    </row>
    <row r="151" spans="1:18" x14ac:dyDescent="0.25">
      <c r="A151" s="167"/>
      <c r="B151" s="159"/>
      <c r="C151" s="159"/>
      <c r="D151" s="54" t="s">
        <v>12</v>
      </c>
      <c r="E151" s="46">
        <f>SUM(F151:J151)</f>
        <v>0</v>
      </c>
      <c r="F151" s="46"/>
      <c r="G151" s="46"/>
      <c r="H151" s="46"/>
      <c r="I151" s="46"/>
      <c r="J151" s="46"/>
      <c r="K151" s="61"/>
      <c r="L151" s="61"/>
      <c r="M151" s="61"/>
      <c r="N151" s="61"/>
      <c r="O151" s="61"/>
      <c r="P151" s="61"/>
      <c r="Q151" s="180"/>
      <c r="R151" s="28"/>
    </row>
    <row r="152" spans="1:18" x14ac:dyDescent="0.25">
      <c r="A152" s="167"/>
      <c r="B152" s="159"/>
      <c r="C152" s="159"/>
      <c r="D152" s="54" t="s">
        <v>13</v>
      </c>
      <c r="E152" s="46">
        <f>SUM(F152:J152)</f>
        <v>0</v>
      </c>
      <c r="F152" s="46"/>
      <c r="G152" s="46"/>
      <c r="H152" s="46"/>
      <c r="I152" s="46"/>
      <c r="J152" s="46"/>
      <c r="K152" s="61"/>
      <c r="L152" s="61"/>
      <c r="M152" s="61"/>
      <c r="N152" s="61"/>
      <c r="O152" s="61"/>
      <c r="P152" s="61"/>
      <c r="Q152" s="180"/>
      <c r="R152" s="28"/>
    </row>
    <row r="153" spans="1:18" x14ac:dyDescent="0.25">
      <c r="A153" s="168"/>
      <c r="B153" s="160"/>
      <c r="C153" s="160"/>
      <c r="D153" s="54" t="s">
        <v>14</v>
      </c>
      <c r="E153" s="46">
        <f>SUM(F153:J153)</f>
        <v>0</v>
      </c>
      <c r="F153" s="46"/>
      <c r="G153" s="46"/>
      <c r="H153" s="46"/>
      <c r="I153" s="46"/>
      <c r="J153" s="46"/>
      <c r="K153" s="61"/>
      <c r="L153" s="61"/>
      <c r="M153" s="61"/>
      <c r="N153" s="61"/>
      <c r="O153" s="61"/>
      <c r="P153" s="61"/>
      <c r="Q153" s="181"/>
      <c r="R153" s="28"/>
    </row>
    <row r="154" spans="1:18" ht="15" customHeight="1" x14ac:dyDescent="0.25">
      <c r="A154" s="166" t="s">
        <v>242</v>
      </c>
      <c r="B154" s="158" t="s">
        <v>243</v>
      </c>
      <c r="C154" s="158" t="s">
        <v>164</v>
      </c>
      <c r="D154" s="54" t="s">
        <v>9</v>
      </c>
      <c r="E154" s="46">
        <f t="shared" ref="E154:J154" si="29">SUM(E155:E159)</f>
        <v>845.29434000000003</v>
      </c>
      <c r="F154" s="46">
        <f t="shared" si="29"/>
        <v>845.29434000000003</v>
      </c>
      <c r="G154" s="46">
        <f t="shared" si="29"/>
        <v>0</v>
      </c>
      <c r="H154" s="46">
        <f t="shared" si="29"/>
        <v>0</v>
      </c>
      <c r="I154" s="46">
        <f t="shared" si="29"/>
        <v>0</v>
      </c>
      <c r="J154" s="46">
        <f t="shared" si="29"/>
        <v>0</v>
      </c>
      <c r="K154" s="61"/>
      <c r="L154" s="61"/>
      <c r="M154" s="61"/>
      <c r="N154" s="61"/>
      <c r="O154" s="61"/>
      <c r="P154" s="61"/>
      <c r="Q154" s="179" t="s">
        <v>174</v>
      </c>
      <c r="R154" s="28"/>
    </row>
    <row r="155" spans="1:18" x14ac:dyDescent="0.25">
      <c r="A155" s="167"/>
      <c r="B155" s="159"/>
      <c r="C155" s="159"/>
      <c r="D155" s="155" t="s">
        <v>10</v>
      </c>
      <c r="E155" s="156"/>
      <c r="F155" s="156"/>
      <c r="G155" s="156"/>
      <c r="H155" s="156"/>
      <c r="I155" s="156"/>
      <c r="J155" s="157"/>
      <c r="K155" s="61"/>
      <c r="L155" s="61"/>
      <c r="M155" s="61"/>
      <c r="N155" s="61"/>
      <c r="O155" s="61"/>
      <c r="P155" s="61"/>
      <c r="Q155" s="180"/>
      <c r="R155" s="28"/>
    </row>
    <row r="156" spans="1:18" x14ac:dyDescent="0.25">
      <c r="A156" s="167"/>
      <c r="B156" s="159"/>
      <c r="C156" s="159"/>
      <c r="D156" s="54" t="s">
        <v>11</v>
      </c>
      <c r="E156" s="46">
        <f>SUM(F156:J156)</f>
        <v>43</v>
      </c>
      <c r="F156" s="46">
        <v>43</v>
      </c>
      <c r="G156" s="46"/>
      <c r="H156" s="46"/>
      <c r="I156" s="46"/>
      <c r="J156" s="46"/>
      <c r="K156" s="61"/>
      <c r="L156" s="61"/>
      <c r="M156" s="61"/>
      <c r="N156" s="61"/>
      <c r="O156" s="61"/>
      <c r="P156" s="61"/>
      <c r="Q156" s="180"/>
      <c r="R156" s="28"/>
    </row>
    <row r="157" spans="1:18" x14ac:dyDescent="0.25">
      <c r="A157" s="167"/>
      <c r="B157" s="159"/>
      <c r="C157" s="159"/>
      <c r="D157" s="54" t="s">
        <v>12</v>
      </c>
      <c r="E157" s="46">
        <f>SUM(F157:J157)</f>
        <v>0</v>
      </c>
      <c r="F157" s="46"/>
      <c r="G157" s="46"/>
      <c r="H157" s="46"/>
      <c r="I157" s="46"/>
      <c r="J157" s="46"/>
      <c r="K157" s="61"/>
      <c r="L157" s="61"/>
      <c r="M157" s="61"/>
      <c r="N157" s="61"/>
      <c r="O157" s="61"/>
      <c r="P157" s="61"/>
      <c r="Q157" s="180"/>
      <c r="R157" s="28"/>
    </row>
    <row r="158" spans="1:18" x14ac:dyDescent="0.25">
      <c r="A158" s="167"/>
      <c r="B158" s="159"/>
      <c r="C158" s="159"/>
      <c r="D158" s="54" t="s">
        <v>13</v>
      </c>
      <c r="E158" s="46">
        <f>SUM(F158:J158)</f>
        <v>802.29434000000003</v>
      </c>
      <c r="F158" s="46">
        <v>802.29434000000003</v>
      </c>
      <c r="G158" s="46"/>
      <c r="H158" s="46"/>
      <c r="I158" s="46"/>
      <c r="J158" s="46"/>
      <c r="K158" s="61"/>
      <c r="L158" s="61"/>
      <c r="M158" s="61"/>
      <c r="N158" s="61"/>
      <c r="O158" s="61"/>
      <c r="P158" s="61"/>
      <c r="Q158" s="180"/>
      <c r="R158" s="28"/>
    </row>
    <row r="159" spans="1:18" x14ac:dyDescent="0.25">
      <c r="A159" s="168"/>
      <c r="B159" s="160"/>
      <c r="C159" s="160"/>
      <c r="D159" s="54" t="s">
        <v>14</v>
      </c>
      <c r="E159" s="46">
        <f>SUM(F159:J159)</f>
        <v>0</v>
      </c>
      <c r="F159" s="46"/>
      <c r="G159" s="46"/>
      <c r="H159" s="46"/>
      <c r="I159" s="46"/>
      <c r="J159" s="46"/>
      <c r="K159" s="61"/>
      <c r="L159" s="61"/>
      <c r="M159" s="61"/>
      <c r="N159" s="61"/>
      <c r="O159" s="61"/>
      <c r="P159" s="61"/>
      <c r="Q159" s="181"/>
      <c r="R159" s="28"/>
    </row>
    <row r="160" spans="1:18" ht="15" customHeight="1" x14ac:dyDescent="0.25">
      <c r="A160" s="166" t="s">
        <v>253</v>
      </c>
      <c r="B160" s="158" t="s">
        <v>254</v>
      </c>
      <c r="C160" s="158" t="s">
        <v>164</v>
      </c>
      <c r="D160" s="54" t="s">
        <v>9</v>
      </c>
      <c r="E160" s="46">
        <f t="shared" ref="E160:J160" si="30">SUM(E161:E165)</f>
        <v>103.88</v>
      </c>
      <c r="F160" s="46">
        <f t="shared" si="30"/>
        <v>103.88</v>
      </c>
      <c r="G160" s="46">
        <f t="shared" si="30"/>
        <v>0</v>
      </c>
      <c r="H160" s="46">
        <f t="shared" si="30"/>
        <v>0</v>
      </c>
      <c r="I160" s="46">
        <f t="shared" si="30"/>
        <v>0</v>
      </c>
      <c r="J160" s="46">
        <f t="shared" si="30"/>
        <v>0</v>
      </c>
      <c r="K160" s="61"/>
      <c r="L160" s="61"/>
      <c r="M160" s="61"/>
      <c r="N160" s="61"/>
      <c r="O160" s="61"/>
      <c r="P160" s="61"/>
      <c r="Q160" s="179" t="s">
        <v>255</v>
      </c>
      <c r="R160" s="28"/>
    </row>
    <row r="161" spans="1:18" x14ac:dyDescent="0.25">
      <c r="A161" s="167"/>
      <c r="B161" s="159"/>
      <c r="C161" s="159"/>
      <c r="D161" s="155" t="s">
        <v>10</v>
      </c>
      <c r="E161" s="156"/>
      <c r="F161" s="156"/>
      <c r="G161" s="156"/>
      <c r="H161" s="156"/>
      <c r="I161" s="156"/>
      <c r="J161" s="157"/>
      <c r="K161" s="61"/>
      <c r="L161" s="61"/>
      <c r="M161" s="61"/>
      <c r="N161" s="61"/>
      <c r="O161" s="61"/>
      <c r="P161" s="61"/>
      <c r="Q161" s="180"/>
      <c r="R161" s="28"/>
    </row>
    <row r="162" spans="1:18" x14ac:dyDescent="0.25">
      <c r="A162" s="167"/>
      <c r="B162" s="159"/>
      <c r="C162" s="159"/>
      <c r="D162" s="54" t="s">
        <v>11</v>
      </c>
      <c r="E162" s="46">
        <f>SUM(F162:J162)</f>
        <v>39.505600000000001</v>
      </c>
      <c r="F162" s="46">
        <v>39.505600000000001</v>
      </c>
      <c r="G162" s="46"/>
      <c r="H162" s="46"/>
      <c r="I162" s="46"/>
      <c r="J162" s="46"/>
      <c r="K162" s="61"/>
      <c r="L162" s="61"/>
      <c r="M162" s="61"/>
      <c r="N162" s="61"/>
      <c r="O162" s="61"/>
      <c r="P162" s="61"/>
      <c r="Q162" s="180"/>
      <c r="R162" s="28"/>
    </row>
    <row r="163" spans="1:18" x14ac:dyDescent="0.25">
      <c r="A163" s="167"/>
      <c r="B163" s="159"/>
      <c r="C163" s="159"/>
      <c r="D163" s="54" t="s">
        <v>12</v>
      </c>
      <c r="E163" s="46">
        <f>SUM(F163:J163)</f>
        <v>64.374399999999994</v>
      </c>
      <c r="F163" s="46">
        <v>64.374399999999994</v>
      </c>
      <c r="G163" s="46"/>
      <c r="H163" s="46"/>
      <c r="I163" s="46"/>
      <c r="J163" s="46"/>
      <c r="K163" s="61"/>
      <c r="L163" s="61"/>
      <c r="M163" s="61"/>
      <c r="N163" s="61"/>
      <c r="O163" s="61"/>
      <c r="P163" s="61"/>
      <c r="Q163" s="180"/>
      <c r="R163" s="28"/>
    </row>
    <row r="164" spans="1:18" x14ac:dyDescent="0.25">
      <c r="A164" s="167"/>
      <c r="B164" s="159"/>
      <c r="C164" s="159"/>
      <c r="D164" s="54" t="s">
        <v>13</v>
      </c>
      <c r="E164" s="46">
        <f>SUM(F164:J164)</f>
        <v>0</v>
      </c>
      <c r="F164" s="46"/>
      <c r="G164" s="46"/>
      <c r="H164" s="46"/>
      <c r="I164" s="46"/>
      <c r="J164" s="46"/>
      <c r="K164" s="61"/>
      <c r="L164" s="61"/>
      <c r="M164" s="61"/>
      <c r="N164" s="61"/>
      <c r="O164" s="61"/>
      <c r="P164" s="61"/>
      <c r="Q164" s="180"/>
      <c r="R164" s="28"/>
    </row>
    <row r="165" spans="1:18" x14ac:dyDescent="0.25">
      <c r="A165" s="168"/>
      <c r="B165" s="160"/>
      <c r="C165" s="160"/>
      <c r="D165" s="54" t="s">
        <v>14</v>
      </c>
      <c r="E165" s="46">
        <f>SUM(F165:J165)</f>
        <v>0</v>
      </c>
      <c r="F165" s="46"/>
      <c r="G165" s="46"/>
      <c r="H165" s="46"/>
      <c r="I165" s="46"/>
      <c r="J165" s="46"/>
      <c r="K165" s="61"/>
      <c r="L165" s="61"/>
      <c r="M165" s="61"/>
      <c r="N165" s="61"/>
      <c r="O165" s="61"/>
      <c r="P165" s="61"/>
      <c r="Q165" s="181"/>
      <c r="R165" s="28"/>
    </row>
    <row r="166" spans="1:18" ht="15" customHeight="1" x14ac:dyDescent="0.25">
      <c r="A166" s="166" t="s">
        <v>256</v>
      </c>
      <c r="B166" s="158" t="s">
        <v>257</v>
      </c>
      <c r="C166" s="158" t="s">
        <v>164</v>
      </c>
      <c r="D166" s="54" t="s">
        <v>9</v>
      </c>
      <c r="E166" s="46">
        <f t="shared" ref="E166:J166" si="31">SUM(E167:E171)</f>
        <v>400</v>
      </c>
      <c r="F166" s="46">
        <f t="shared" si="31"/>
        <v>400</v>
      </c>
      <c r="G166" s="46">
        <f t="shared" si="31"/>
        <v>0</v>
      </c>
      <c r="H166" s="46">
        <f t="shared" si="31"/>
        <v>0</v>
      </c>
      <c r="I166" s="46">
        <f t="shared" si="31"/>
        <v>0</v>
      </c>
      <c r="J166" s="46">
        <f t="shared" si="31"/>
        <v>0</v>
      </c>
      <c r="K166" s="61"/>
      <c r="L166" s="61"/>
      <c r="M166" s="61"/>
      <c r="N166" s="61"/>
      <c r="O166" s="61"/>
      <c r="P166" s="61"/>
      <c r="Q166" s="179" t="s">
        <v>196</v>
      </c>
      <c r="R166" s="28"/>
    </row>
    <row r="167" spans="1:18" x14ac:dyDescent="0.25">
      <c r="A167" s="167"/>
      <c r="B167" s="159"/>
      <c r="C167" s="159"/>
      <c r="D167" s="155" t="s">
        <v>10</v>
      </c>
      <c r="E167" s="156"/>
      <c r="F167" s="156"/>
      <c r="G167" s="156"/>
      <c r="H167" s="156"/>
      <c r="I167" s="156"/>
      <c r="J167" s="157"/>
      <c r="K167" s="61"/>
      <c r="L167" s="61"/>
      <c r="M167" s="61"/>
      <c r="N167" s="61"/>
      <c r="O167" s="61"/>
      <c r="P167" s="61"/>
      <c r="Q167" s="180"/>
      <c r="R167" s="28"/>
    </row>
    <row r="168" spans="1:18" x14ac:dyDescent="0.25">
      <c r="A168" s="167"/>
      <c r="B168" s="159"/>
      <c r="C168" s="159"/>
      <c r="D168" s="54" t="s">
        <v>11</v>
      </c>
      <c r="E168" s="46">
        <f>SUM(F168:J168)</f>
        <v>152.12</v>
      </c>
      <c r="F168" s="46">
        <v>152.12</v>
      </c>
      <c r="G168" s="46"/>
      <c r="H168" s="46"/>
      <c r="I168" s="46"/>
      <c r="J168" s="46"/>
      <c r="K168" s="61"/>
      <c r="L168" s="61"/>
      <c r="M168" s="61"/>
      <c r="N168" s="61"/>
      <c r="O168" s="61"/>
      <c r="P168" s="61"/>
      <c r="Q168" s="180"/>
      <c r="R168" s="28"/>
    </row>
    <row r="169" spans="1:18" x14ac:dyDescent="0.25">
      <c r="A169" s="167"/>
      <c r="B169" s="159"/>
      <c r="C169" s="159"/>
      <c r="D169" s="54" t="s">
        <v>12</v>
      </c>
      <c r="E169" s="46">
        <f>SUM(F169:J169)</f>
        <v>247.88</v>
      </c>
      <c r="F169" s="46">
        <v>247.88</v>
      </c>
      <c r="G169" s="46"/>
      <c r="H169" s="46"/>
      <c r="I169" s="46"/>
      <c r="J169" s="46"/>
      <c r="K169" s="61"/>
      <c r="L169" s="61"/>
      <c r="M169" s="61"/>
      <c r="N169" s="61"/>
      <c r="O169" s="61"/>
      <c r="P169" s="61"/>
      <c r="Q169" s="180"/>
      <c r="R169" s="28"/>
    </row>
    <row r="170" spans="1:18" x14ac:dyDescent="0.25">
      <c r="A170" s="167"/>
      <c r="B170" s="159"/>
      <c r="C170" s="159"/>
      <c r="D170" s="54" t="s">
        <v>13</v>
      </c>
      <c r="E170" s="46">
        <f>SUM(F170:J170)</f>
        <v>0</v>
      </c>
      <c r="F170" s="46"/>
      <c r="G170" s="46"/>
      <c r="H170" s="46"/>
      <c r="I170" s="46"/>
      <c r="J170" s="46"/>
      <c r="K170" s="61"/>
      <c r="L170" s="61"/>
      <c r="M170" s="61"/>
      <c r="N170" s="61"/>
      <c r="O170" s="61"/>
      <c r="P170" s="61"/>
      <c r="Q170" s="180"/>
      <c r="R170" s="28"/>
    </row>
    <row r="171" spans="1:18" x14ac:dyDescent="0.25">
      <c r="A171" s="168"/>
      <c r="B171" s="160"/>
      <c r="C171" s="160"/>
      <c r="D171" s="54" t="s">
        <v>14</v>
      </c>
      <c r="E171" s="46">
        <f>SUM(F171:J171)</f>
        <v>0</v>
      </c>
      <c r="F171" s="46"/>
      <c r="G171" s="46"/>
      <c r="H171" s="46"/>
      <c r="I171" s="46"/>
      <c r="J171" s="46"/>
      <c r="K171" s="61"/>
      <c r="L171" s="61"/>
      <c r="M171" s="61"/>
      <c r="N171" s="61"/>
      <c r="O171" s="61"/>
      <c r="P171" s="61"/>
      <c r="Q171" s="181"/>
      <c r="R171" s="28"/>
    </row>
    <row r="172" spans="1:18" x14ac:dyDescent="0.25">
      <c r="A172" s="166" t="s">
        <v>308</v>
      </c>
      <c r="B172" s="158" t="s">
        <v>307</v>
      </c>
      <c r="C172" s="158" t="s">
        <v>165</v>
      </c>
      <c r="D172" s="54" t="s">
        <v>9</v>
      </c>
      <c r="E172" s="46">
        <f t="shared" ref="E172:J172" si="32">SUM(E173:E177)</f>
        <v>130</v>
      </c>
      <c r="F172" s="46">
        <f t="shared" si="32"/>
        <v>0</v>
      </c>
      <c r="G172" s="46">
        <f t="shared" si="32"/>
        <v>130</v>
      </c>
      <c r="H172" s="46">
        <f t="shared" si="32"/>
        <v>0</v>
      </c>
      <c r="I172" s="46">
        <f t="shared" si="32"/>
        <v>0</v>
      </c>
      <c r="J172" s="46">
        <f t="shared" si="32"/>
        <v>0</v>
      </c>
      <c r="K172" s="61"/>
      <c r="L172" s="61"/>
      <c r="M172" s="61"/>
      <c r="N172" s="61"/>
      <c r="O172" s="61"/>
      <c r="P172" s="61"/>
      <c r="Q172" s="179" t="s">
        <v>68</v>
      </c>
      <c r="R172" s="28"/>
    </row>
    <row r="173" spans="1:18" x14ac:dyDescent="0.25">
      <c r="A173" s="167"/>
      <c r="B173" s="159"/>
      <c r="C173" s="159"/>
      <c r="D173" s="155" t="s">
        <v>10</v>
      </c>
      <c r="E173" s="156"/>
      <c r="F173" s="156"/>
      <c r="G173" s="156"/>
      <c r="H173" s="156"/>
      <c r="I173" s="156"/>
      <c r="J173" s="157"/>
      <c r="K173" s="61"/>
      <c r="L173" s="61"/>
      <c r="M173" s="61"/>
      <c r="N173" s="61"/>
      <c r="O173" s="61"/>
      <c r="P173" s="61"/>
      <c r="Q173" s="180"/>
      <c r="R173" s="28"/>
    </row>
    <row r="174" spans="1:18" x14ac:dyDescent="0.25">
      <c r="A174" s="167"/>
      <c r="B174" s="159"/>
      <c r="C174" s="159"/>
      <c r="D174" s="54" t="s">
        <v>11</v>
      </c>
      <c r="E174" s="46">
        <f>SUM(F174:J174)</f>
        <v>6.5</v>
      </c>
      <c r="F174" s="46"/>
      <c r="G174" s="46">
        <v>6.5</v>
      </c>
      <c r="H174" s="46"/>
      <c r="I174" s="46"/>
      <c r="J174" s="46"/>
      <c r="K174" s="61"/>
      <c r="L174" s="61"/>
      <c r="M174" s="61"/>
      <c r="N174" s="61"/>
      <c r="O174" s="61"/>
      <c r="P174" s="61"/>
      <c r="Q174" s="180"/>
      <c r="R174" s="28"/>
    </row>
    <row r="175" spans="1:18" x14ac:dyDescent="0.25">
      <c r="A175" s="167"/>
      <c r="B175" s="159"/>
      <c r="C175" s="159"/>
      <c r="D175" s="54" t="s">
        <v>12</v>
      </c>
      <c r="E175" s="46">
        <f>SUM(F175:J175)</f>
        <v>123.5</v>
      </c>
      <c r="F175" s="46"/>
      <c r="G175" s="46">
        <v>123.5</v>
      </c>
      <c r="H175" s="46"/>
      <c r="I175" s="46"/>
      <c r="J175" s="46"/>
      <c r="K175" s="61"/>
      <c r="L175" s="61"/>
      <c r="M175" s="61"/>
      <c r="N175" s="61"/>
      <c r="O175" s="61"/>
      <c r="P175" s="61"/>
      <c r="Q175" s="180"/>
      <c r="R175" s="28"/>
    </row>
    <row r="176" spans="1:18" x14ac:dyDescent="0.25">
      <c r="A176" s="167"/>
      <c r="B176" s="159"/>
      <c r="C176" s="159"/>
      <c r="D176" s="54" t="s">
        <v>13</v>
      </c>
      <c r="E176" s="46">
        <f>SUM(F176:J176)</f>
        <v>0</v>
      </c>
      <c r="F176" s="46"/>
      <c r="G176" s="46"/>
      <c r="H176" s="46"/>
      <c r="I176" s="46"/>
      <c r="J176" s="46"/>
      <c r="K176" s="61"/>
      <c r="L176" s="61"/>
      <c r="M176" s="61"/>
      <c r="N176" s="61"/>
      <c r="O176" s="61"/>
      <c r="P176" s="61"/>
      <c r="Q176" s="180"/>
      <c r="R176" s="28"/>
    </row>
    <row r="177" spans="1:18" x14ac:dyDescent="0.25">
      <c r="A177" s="168"/>
      <c r="B177" s="160"/>
      <c r="C177" s="160"/>
      <c r="D177" s="54" t="s">
        <v>14</v>
      </c>
      <c r="E177" s="46">
        <f>SUM(F177:J177)</f>
        <v>0</v>
      </c>
      <c r="F177" s="46"/>
      <c r="G177" s="46"/>
      <c r="H177" s="46"/>
      <c r="I177" s="46"/>
      <c r="J177" s="46"/>
      <c r="K177" s="61"/>
      <c r="L177" s="61"/>
      <c r="M177" s="61"/>
      <c r="N177" s="61"/>
      <c r="O177" s="61"/>
      <c r="P177" s="61"/>
      <c r="Q177" s="181"/>
      <c r="R177" s="28"/>
    </row>
    <row r="178" spans="1:18" x14ac:dyDescent="0.25">
      <c r="A178" s="239"/>
      <c r="B178" s="213" t="s">
        <v>16</v>
      </c>
      <c r="C178" s="239"/>
      <c r="D178" s="54" t="s">
        <v>9</v>
      </c>
      <c r="E178" s="46">
        <f t="shared" ref="E178:J178" si="33">SUM(E179:E183)</f>
        <v>7585.4929100000008</v>
      </c>
      <c r="F178" s="46">
        <f t="shared" si="33"/>
        <v>7240.4929100000008</v>
      </c>
      <c r="G178" s="46">
        <f t="shared" si="33"/>
        <v>255</v>
      </c>
      <c r="H178" s="46">
        <f t="shared" si="33"/>
        <v>0</v>
      </c>
      <c r="I178" s="46">
        <f t="shared" si="33"/>
        <v>0</v>
      </c>
      <c r="J178" s="46">
        <f t="shared" si="33"/>
        <v>90</v>
      </c>
      <c r="K178" s="207"/>
      <c r="L178" s="207"/>
      <c r="M178" s="207"/>
      <c r="N178" s="207"/>
      <c r="O178" s="207"/>
      <c r="P178" s="207"/>
      <c r="Q178" s="161"/>
      <c r="R178" s="28"/>
    </row>
    <row r="179" spans="1:18" x14ac:dyDescent="0.25">
      <c r="A179" s="239"/>
      <c r="B179" s="213"/>
      <c r="C179" s="239"/>
      <c r="D179" s="155" t="s">
        <v>10</v>
      </c>
      <c r="E179" s="156"/>
      <c r="F179" s="156"/>
      <c r="G179" s="156"/>
      <c r="H179" s="156"/>
      <c r="I179" s="156"/>
      <c r="J179" s="157"/>
      <c r="K179" s="208"/>
      <c r="L179" s="208"/>
      <c r="M179" s="208"/>
      <c r="N179" s="208"/>
      <c r="O179" s="208"/>
      <c r="P179" s="208"/>
      <c r="Q179" s="162"/>
      <c r="R179" s="28"/>
    </row>
    <row r="180" spans="1:18" x14ac:dyDescent="0.25">
      <c r="A180" s="239"/>
      <c r="B180" s="213"/>
      <c r="C180" s="239"/>
      <c r="D180" s="54" t="s">
        <v>11</v>
      </c>
      <c r="E180" s="46">
        <f>SUM(F180:J180)</f>
        <v>4113.3282500000005</v>
      </c>
      <c r="F180" s="46">
        <f>F66+F12+F84+F132+F150+F162+F156+F168+F174</f>
        <v>3891.82825</v>
      </c>
      <c r="G180" s="46">
        <f t="shared" ref="G180:J180" si="34">G66+G12+G84+G132+G150+G162+G156+G168+G174</f>
        <v>131.5</v>
      </c>
      <c r="H180" s="46">
        <f t="shared" si="34"/>
        <v>0</v>
      </c>
      <c r="I180" s="46">
        <f t="shared" si="34"/>
        <v>0</v>
      </c>
      <c r="J180" s="46">
        <f t="shared" si="34"/>
        <v>90</v>
      </c>
      <c r="K180" s="208"/>
      <c r="L180" s="208"/>
      <c r="M180" s="208"/>
      <c r="N180" s="208"/>
      <c r="O180" s="208"/>
      <c r="P180" s="208"/>
      <c r="Q180" s="162"/>
      <c r="R180" s="28"/>
    </row>
    <row r="181" spans="1:18" x14ac:dyDescent="0.25">
      <c r="A181" s="239"/>
      <c r="B181" s="213"/>
      <c r="C181" s="239"/>
      <c r="D181" s="54" t="s">
        <v>12</v>
      </c>
      <c r="E181" s="46">
        <f>SUM(F181:J181)</f>
        <v>435.75439999999998</v>
      </c>
      <c r="F181" s="46">
        <f t="shared" ref="F181:J183" si="35">F67+F13+F85+F133+F151+F163+F157+F169+F175</f>
        <v>312.25439999999998</v>
      </c>
      <c r="G181" s="46">
        <f t="shared" si="35"/>
        <v>123.5</v>
      </c>
      <c r="H181" s="46">
        <f t="shared" si="35"/>
        <v>0</v>
      </c>
      <c r="I181" s="46">
        <f t="shared" si="35"/>
        <v>0</v>
      </c>
      <c r="J181" s="46">
        <f t="shared" si="35"/>
        <v>0</v>
      </c>
      <c r="K181" s="208"/>
      <c r="L181" s="208"/>
      <c r="M181" s="208"/>
      <c r="N181" s="208"/>
      <c r="O181" s="208"/>
      <c r="P181" s="208"/>
      <c r="Q181" s="162"/>
      <c r="R181" s="28"/>
    </row>
    <row r="182" spans="1:18" x14ac:dyDescent="0.25">
      <c r="A182" s="239"/>
      <c r="B182" s="213"/>
      <c r="C182" s="239"/>
      <c r="D182" s="54" t="s">
        <v>13</v>
      </c>
      <c r="E182" s="46">
        <f>SUM(F182:J182)</f>
        <v>3036.4102600000001</v>
      </c>
      <c r="F182" s="46">
        <f t="shared" si="35"/>
        <v>3036.4102600000001</v>
      </c>
      <c r="G182" s="46">
        <f t="shared" si="35"/>
        <v>0</v>
      </c>
      <c r="H182" s="46">
        <f t="shared" si="35"/>
        <v>0</v>
      </c>
      <c r="I182" s="46">
        <f t="shared" si="35"/>
        <v>0</v>
      </c>
      <c r="J182" s="46">
        <f t="shared" si="35"/>
        <v>0</v>
      </c>
      <c r="K182" s="208"/>
      <c r="L182" s="208"/>
      <c r="M182" s="208"/>
      <c r="N182" s="208"/>
      <c r="O182" s="208"/>
      <c r="P182" s="208"/>
      <c r="Q182" s="162"/>
      <c r="R182" s="28"/>
    </row>
    <row r="183" spans="1:18" x14ac:dyDescent="0.25">
      <c r="A183" s="239"/>
      <c r="B183" s="213"/>
      <c r="C183" s="239"/>
      <c r="D183" s="54" t="s">
        <v>14</v>
      </c>
      <c r="E183" s="46">
        <f>SUM(F183:J183)</f>
        <v>0</v>
      </c>
      <c r="F183" s="46">
        <f t="shared" si="35"/>
        <v>0</v>
      </c>
      <c r="G183" s="46">
        <f t="shared" si="35"/>
        <v>0</v>
      </c>
      <c r="H183" s="46">
        <f t="shared" si="35"/>
        <v>0</v>
      </c>
      <c r="I183" s="46">
        <f t="shared" si="35"/>
        <v>0</v>
      </c>
      <c r="J183" s="46">
        <f t="shared" si="35"/>
        <v>0</v>
      </c>
      <c r="K183" s="209"/>
      <c r="L183" s="209"/>
      <c r="M183" s="209"/>
      <c r="N183" s="209"/>
      <c r="O183" s="209"/>
      <c r="P183" s="209"/>
      <c r="Q183" s="163"/>
      <c r="R183" s="28"/>
    </row>
    <row r="184" spans="1:18" ht="15" customHeight="1" x14ac:dyDescent="0.25">
      <c r="A184" s="147">
        <v>2</v>
      </c>
      <c r="B184" s="234" t="s">
        <v>192</v>
      </c>
      <c r="C184" s="235"/>
      <c r="D184" s="235"/>
      <c r="E184" s="235"/>
      <c r="F184" s="235"/>
      <c r="G184" s="235"/>
      <c r="H184" s="235"/>
      <c r="I184" s="235"/>
      <c r="J184" s="235"/>
      <c r="K184" s="235"/>
      <c r="L184" s="235"/>
      <c r="M184" s="235"/>
      <c r="N184" s="235"/>
      <c r="O184" s="235"/>
      <c r="P184" s="235"/>
      <c r="Q184" s="236"/>
      <c r="R184" s="28"/>
    </row>
    <row r="185" spans="1:18" ht="15" customHeight="1" x14ac:dyDescent="0.25">
      <c r="A185" s="166" t="s">
        <v>24</v>
      </c>
      <c r="B185" s="158" t="s">
        <v>175</v>
      </c>
      <c r="C185" s="158" t="s">
        <v>176</v>
      </c>
      <c r="D185" s="54" t="s">
        <v>9</v>
      </c>
      <c r="E185" s="46">
        <v>700</v>
      </c>
      <c r="F185" s="46">
        <f>SUM(F187:F190)</f>
        <v>760</v>
      </c>
      <c r="G185" s="46">
        <f>SUM(G187:G190)</f>
        <v>0</v>
      </c>
      <c r="H185" s="46">
        <f>SUM(H187:H190)</f>
        <v>0</v>
      </c>
      <c r="I185" s="46">
        <f>SUM(I187:I190)</f>
        <v>0</v>
      </c>
      <c r="J185" s="46">
        <f>SUM(J187:J190)</f>
        <v>0</v>
      </c>
      <c r="K185" s="61"/>
      <c r="L185" s="61"/>
      <c r="M185" s="61"/>
      <c r="N185" s="61"/>
      <c r="O185" s="61"/>
      <c r="P185" s="61"/>
      <c r="Q185" s="179" t="s">
        <v>74</v>
      </c>
      <c r="R185" s="28"/>
    </row>
    <row r="186" spans="1:18" x14ac:dyDescent="0.25">
      <c r="A186" s="167"/>
      <c r="B186" s="159"/>
      <c r="C186" s="159"/>
      <c r="D186" s="155" t="s">
        <v>10</v>
      </c>
      <c r="E186" s="156"/>
      <c r="F186" s="156"/>
      <c r="G186" s="156"/>
      <c r="H186" s="156"/>
      <c r="I186" s="156"/>
      <c r="J186" s="157"/>
      <c r="K186" s="61"/>
      <c r="L186" s="61"/>
      <c r="M186" s="61"/>
      <c r="N186" s="61"/>
      <c r="O186" s="61"/>
      <c r="P186" s="61"/>
      <c r="Q186" s="180"/>
      <c r="R186" s="28"/>
    </row>
    <row r="187" spans="1:18" x14ac:dyDescent="0.25">
      <c r="A187" s="167"/>
      <c r="B187" s="159"/>
      <c r="C187" s="159"/>
      <c r="D187" s="54" t="s">
        <v>11</v>
      </c>
      <c r="E187" s="46">
        <f>SUM(F187:J187)</f>
        <v>323</v>
      </c>
      <c r="F187" s="46">
        <f>23+300</f>
        <v>323</v>
      </c>
      <c r="G187" s="46">
        <v>0</v>
      </c>
      <c r="H187" s="46">
        <v>0</v>
      </c>
      <c r="I187" s="46">
        <v>0</v>
      </c>
      <c r="J187" s="46">
        <v>0</v>
      </c>
      <c r="K187" s="61"/>
      <c r="L187" s="61"/>
      <c r="M187" s="61"/>
      <c r="N187" s="61"/>
      <c r="O187" s="61"/>
      <c r="P187" s="61"/>
      <c r="Q187" s="180"/>
      <c r="R187" s="28"/>
    </row>
    <row r="188" spans="1:18" x14ac:dyDescent="0.25">
      <c r="A188" s="167"/>
      <c r="B188" s="159"/>
      <c r="C188" s="159"/>
      <c r="D188" s="54" t="s">
        <v>12</v>
      </c>
      <c r="E188" s="46">
        <f>SUM(F188:J188)</f>
        <v>437</v>
      </c>
      <c r="F188" s="46">
        <v>437</v>
      </c>
      <c r="G188" s="46"/>
      <c r="H188" s="46"/>
      <c r="I188" s="46"/>
      <c r="J188" s="46"/>
      <c r="K188" s="61"/>
      <c r="L188" s="61"/>
      <c r="M188" s="61"/>
      <c r="N188" s="61"/>
      <c r="O188" s="61"/>
      <c r="P188" s="61"/>
      <c r="Q188" s="180"/>
      <c r="R188" s="28"/>
    </row>
    <row r="189" spans="1:18" x14ac:dyDescent="0.25">
      <c r="A189" s="167"/>
      <c r="B189" s="159"/>
      <c r="C189" s="159"/>
      <c r="D189" s="54" t="s">
        <v>13</v>
      </c>
      <c r="E189" s="46">
        <f>SUM(F189:J189)</f>
        <v>0</v>
      </c>
      <c r="F189" s="46"/>
      <c r="G189" s="46"/>
      <c r="H189" s="46"/>
      <c r="I189" s="46"/>
      <c r="J189" s="46"/>
      <c r="K189" s="61"/>
      <c r="L189" s="61"/>
      <c r="M189" s="61"/>
      <c r="N189" s="61"/>
      <c r="O189" s="61"/>
      <c r="P189" s="61"/>
      <c r="Q189" s="180"/>
      <c r="R189" s="28"/>
    </row>
    <row r="190" spans="1:18" x14ac:dyDescent="0.25">
      <c r="A190" s="168"/>
      <c r="B190" s="160"/>
      <c r="C190" s="160"/>
      <c r="D190" s="54" t="s">
        <v>14</v>
      </c>
      <c r="E190" s="46">
        <f>SUM(F190:J190)</f>
        <v>0</v>
      </c>
      <c r="F190" s="46"/>
      <c r="G190" s="46"/>
      <c r="H190" s="46"/>
      <c r="I190" s="46"/>
      <c r="J190" s="46"/>
      <c r="K190" s="61"/>
      <c r="L190" s="61"/>
      <c r="M190" s="61"/>
      <c r="N190" s="61"/>
      <c r="O190" s="61"/>
      <c r="P190" s="61"/>
      <c r="Q190" s="181"/>
      <c r="R190" s="28"/>
    </row>
    <row r="191" spans="1:18" ht="15" customHeight="1" x14ac:dyDescent="0.25">
      <c r="A191" s="166" t="s">
        <v>22</v>
      </c>
      <c r="B191" s="158" t="s">
        <v>181</v>
      </c>
      <c r="C191" s="158" t="s">
        <v>168</v>
      </c>
      <c r="D191" s="54" t="s">
        <v>9</v>
      </c>
      <c r="E191" s="46">
        <f t="shared" ref="E191:J191" si="36">SUM(E192:E196)</f>
        <v>8350</v>
      </c>
      <c r="F191" s="46">
        <f t="shared" si="36"/>
        <v>0</v>
      </c>
      <c r="G191" s="46">
        <f t="shared" si="36"/>
        <v>0</v>
      </c>
      <c r="H191" s="46">
        <f t="shared" si="36"/>
        <v>0</v>
      </c>
      <c r="I191" s="46">
        <f t="shared" si="36"/>
        <v>0</v>
      </c>
      <c r="J191" s="46">
        <f t="shared" si="36"/>
        <v>8350</v>
      </c>
      <c r="K191" s="61"/>
      <c r="L191" s="61"/>
      <c r="M191" s="61"/>
      <c r="N191" s="61"/>
      <c r="O191" s="61"/>
      <c r="P191" s="61"/>
      <c r="Q191" s="179" t="s">
        <v>182</v>
      </c>
      <c r="R191" s="28"/>
    </row>
    <row r="192" spans="1:18" x14ac:dyDescent="0.25">
      <c r="A192" s="167"/>
      <c r="B192" s="159"/>
      <c r="C192" s="159"/>
      <c r="D192" s="155" t="s">
        <v>10</v>
      </c>
      <c r="E192" s="156"/>
      <c r="F192" s="156"/>
      <c r="G192" s="156"/>
      <c r="H192" s="156"/>
      <c r="I192" s="156"/>
      <c r="J192" s="157"/>
      <c r="K192" s="61"/>
      <c r="L192" s="61"/>
      <c r="M192" s="61"/>
      <c r="N192" s="61"/>
      <c r="O192" s="61"/>
      <c r="P192" s="61"/>
      <c r="Q192" s="180"/>
      <c r="R192" s="28"/>
    </row>
    <row r="193" spans="1:18" x14ac:dyDescent="0.25">
      <c r="A193" s="167"/>
      <c r="B193" s="159"/>
      <c r="C193" s="159"/>
      <c r="D193" s="54" t="s">
        <v>11</v>
      </c>
      <c r="E193" s="46">
        <f>SUM(F193:J193)</f>
        <v>8350</v>
      </c>
      <c r="F193" s="46">
        <v>0</v>
      </c>
      <c r="G193" s="46">
        <v>0</v>
      </c>
      <c r="H193" s="46">
        <v>0</v>
      </c>
      <c r="I193" s="46">
        <v>0</v>
      </c>
      <c r="J193" s="46">
        <v>8350</v>
      </c>
      <c r="K193" s="61"/>
      <c r="L193" s="61"/>
      <c r="M193" s="61"/>
      <c r="N193" s="61"/>
      <c r="O193" s="61"/>
      <c r="P193" s="61"/>
      <c r="Q193" s="180"/>
      <c r="R193" s="28"/>
    </row>
    <row r="194" spans="1:18" x14ac:dyDescent="0.25">
      <c r="A194" s="167"/>
      <c r="B194" s="159"/>
      <c r="C194" s="159"/>
      <c r="D194" s="54" t="s">
        <v>12</v>
      </c>
      <c r="E194" s="46">
        <f>SUM(F194:J194)</f>
        <v>0</v>
      </c>
      <c r="F194" s="46">
        <v>0</v>
      </c>
      <c r="G194" s="46">
        <v>0</v>
      </c>
      <c r="H194" s="46">
        <v>0</v>
      </c>
      <c r="I194" s="46">
        <v>0</v>
      </c>
      <c r="J194" s="46">
        <v>0</v>
      </c>
      <c r="K194" s="61"/>
      <c r="L194" s="61"/>
      <c r="M194" s="61"/>
      <c r="N194" s="61"/>
      <c r="O194" s="61"/>
      <c r="P194" s="61"/>
      <c r="Q194" s="180"/>
      <c r="R194" s="28"/>
    </row>
    <row r="195" spans="1:18" x14ac:dyDescent="0.25">
      <c r="A195" s="167"/>
      <c r="B195" s="159"/>
      <c r="C195" s="159"/>
      <c r="D195" s="54" t="s">
        <v>13</v>
      </c>
      <c r="E195" s="46">
        <f>SUM(F195:J195)</f>
        <v>0</v>
      </c>
      <c r="F195" s="46">
        <v>0</v>
      </c>
      <c r="G195" s="46">
        <v>0</v>
      </c>
      <c r="H195" s="46">
        <v>0</v>
      </c>
      <c r="I195" s="46">
        <v>0</v>
      </c>
      <c r="J195" s="46">
        <v>0</v>
      </c>
      <c r="K195" s="61"/>
      <c r="L195" s="61"/>
      <c r="M195" s="61"/>
      <c r="N195" s="61"/>
      <c r="O195" s="61"/>
      <c r="P195" s="61"/>
      <c r="Q195" s="180"/>
      <c r="R195" s="28"/>
    </row>
    <row r="196" spans="1:18" x14ac:dyDescent="0.25">
      <c r="A196" s="168"/>
      <c r="B196" s="160"/>
      <c r="C196" s="160"/>
      <c r="D196" s="54" t="s">
        <v>14</v>
      </c>
      <c r="E196" s="46">
        <f>SUM(F196:J196)</f>
        <v>0</v>
      </c>
      <c r="F196" s="46">
        <v>0</v>
      </c>
      <c r="G196" s="46">
        <v>0</v>
      </c>
      <c r="H196" s="46">
        <v>0</v>
      </c>
      <c r="I196" s="46">
        <v>0</v>
      </c>
      <c r="J196" s="46">
        <v>0</v>
      </c>
      <c r="K196" s="61"/>
      <c r="L196" s="61"/>
      <c r="M196" s="61"/>
      <c r="N196" s="61"/>
      <c r="O196" s="61"/>
      <c r="P196" s="61"/>
      <c r="Q196" s="181"/>
      <c r="R196" s="28"/>
    </row>
    <row r="197" spans="1:18" ht="15" customHeight="1" x14ac:dyDescent="0.25">
      <c r="A197" s="166" t="s">
        <v>64</v>
      </c>
      <c r="B197" s="158" t="s">
        <v>200</v>
      </c>
      <c r="C197" s="158" t="s">
        <v>176</v>
      </c>
      <c r="D197" s="54" t="s">
        <v>9</v>
      </c>
      <c r="E197" s="46">
        <f t="shared" ref="E197:J197" si="37">SUM(E198:E202)</f>
        <v>1706.71</v>
      </c>
      <c r="F197" s="46">
        <f t="shared" si="37"/>
        <v>1706.71</v>
      </c>
      <c r="G197" s="46">
        <f t="shared" si="37"/>
        <v>0</v>
      </c>
      <c r="H197" s="46">
        <f t="shared" si="37"/>
        <v>0</v>
      </c>
      <c r="I197" s="46">
        <f t="shared" si="37"/>
        <v>0</v>
      </c>
      <c r="J197" s="46">
        <f t="shared" si="37"/>
        <v>0</v>
      </c>
      <c r="K197" s="61"/>
      <c r="L197" s="61"/>
      <c r="M197" s="61"/>
      <c r="N197" s="61"/>
      <c r="O197" s="61"/>
      <c r="P197" s="61"/>
      <c r="Q197" s="179" t="s">
        <v>183</v>
      </c>
      <c r="R197" s="28"/>
    </row>
    <row r="198" spans="1:18" x14ac:dyDescent="0.25">
      <c r="A198" s="167"/>
      <c r="B198" s="159"/>
      <c r="C198" s="159"/>
      <c r="D198" s="155" t="s">
        <v>10</v>
      </c>
      <c r="E198" s="156"/>
      <c r="F198" s="156"/>
      <c r="G198" s="156"/>
      <c r="H198" s="156"/>
      <c r="I198" s="156"/>
      <c r="J198" s="157"/>
      <c r="K198" s="61"/>
      <c r="L198" s="61"/>
      <c r="M198" s="61"/>
      <c r="N198" s="61"/>
      <c r="O198" s="61"/>
      <c r="P198" s="61"/>
      <c r="Q198" s="180"/>
      <c r="R198" s="28"/>
    </row>
    <row r="199" spans="1:18" x14ac:dyDescent="0.25">
      <c r="A199" s="167"/>
      <c r="B199" s="159"/>
      <c r="C199" s="159"/>
      <c r="D199" s="54" t="s">
        <v>11</v>
      </c>
      <c r="E199" s="46">
        <f>SUM(F199:J199)</f>
        <v>1177.8600000000001</v>
      </c>
      <c r="F199" s="46">
        <f>F205+F211</f>
        <v>1177.8600000000001</v>
      </c>
      <c r="G199" s="46">
        <f>G205+G211</f>
        <v>0</v>
      </c>
      <c r="H199" s="46">
        <f>H205+H211</f>
        <v>0</v>
      </c>
      <c r="I199" s="46">
        <f>I205+I211</f>
        <v>0</v>
      </c>
      <c r="J199" s="46">
        <f>J205+J211</f>
        <v>0</v>
      </c>
      <c r="K199" s="61"/>
      <c r="L199" s="61"/>
      <c r="M199" s="61"/>
      <c r="N199" s="61"/>
      <c r="O199" s="61"/>
      <c r="P199" s="61"/>
      <c r="Q199" s="180"/>
      <c r="R199" s="28"/>
    </row>
    <row r="200" spans="1:18" x14ac:dyDescent="0.25">
      <c r="A200" s="167"/>
      <c r="B200" s="159"/>
      <c r="C200" s="159"/>
      <c r="D200" s="54" t="s">
        <v>12</v>
      </c>
      <c r="E200" s="46">
        <f>SUM(F200:J200)</f>
        <v>528.85</v>
      </c>
      <c r="F200" s="46">
        <f t="shared" ref="F200:J202" si="38">F206+F212</f>
        <v>528.85</v>
      </c>
      <c r="G200" s="46">
        <f t="shared" si="38"/>
        <v>0</v>
      </c>
      <c r="H200" s="46">
        <f t="shared" si="38"/>
        <v>0</v>
      </c>
      <c r="I200" s="46">
        <f t="shared" si="38"/>
        <v>0</v>
      </c>
      <c r="J200" s="46">
        <f t="shared" si="38"/>
        <v>0</v>
      </c>
      <c r="K200" s="61"/>
      <c r="L200" s="61"/>
      <c r="M200" s="61"/>
      <c r="N200" s="61"/>
      <c r="O200" s="61"/>
      <c r="P200" s="61"/>
      <c r="Q200" s="180"/>
      <c r="R200" s="28"/>
    </row>
    <row r="201" spans="1:18" x14ac:dyDescent="0.25">
      <c r="A201" s="167"/>
      <c r="B201" s="159"/>
      <c r="C201" s="159"/>
      <c r="D201" s="54" t="s">
        <v>13</v>
      </c>
      <c r="E201" s="46">
        <f>SUM(F201:J201)</f>
        <v>0</v>
      </c>
      <c r="F201" s="46">
        <f t="shared" si="38"/>
        <v>0</v>
      </c>
      <c r="G201" s="46">
        <f t="shared" si="38"/>
        <v>0</v>
      </c>
      <c r="H201" s="46">
        <f t="shared" si="38"/>
        <v>0</v>
      </c>
      <c r="I201" s="46">
        <f t="shared" si="38"/>
        <v>0</v>
      </c>
      <c r="J201" s="46">
        <f t="shared" si="38"/>
        <v>0</v>
      </c>
      <c r="K201" s="61"/>
      <c r="L201" s="61"/>
      <c r="M201" s="61"/>
      <c r="N201" s="61"/>
      <c r="O201" s="61"/>
      <c r="P201" s="61"/>
      <c r="Q201" s="180"/>
      <c r="R201" s="28"/>
    </row>
    <row r="202" spans="1:18" x14ac:dyDescent="0.25">
      <c r="A202" s="168"/>
      <c r="B202" s="160"/>
      <c r="C202" s="160"/>
      <c r="D202" s="54" t="s">
        <v>14</v>
      </c>
      <c r="E202" s="46">
        <f>SUM(F202:J202)</f>
        <v>0</v>
      </c>
      <c r="F202" s="46">
        <f t="shared" si="38"/>
        <v>0</v>
      </c>
      <c r="G202" s="46">
        <f t="shared" si="38"/>
        <v>0</v>
      </c>
      <c r="H202" s="46">
        <f t="shared" si="38"/>
        <v>0</v>
      </c>
      <c r="I202" s="46">
        <f t="shared" si="38"/>
        <v>0</v>
      </c>
      <c r="J202" s="46">
        <f t="shared" si="38"/>
        <v>0</v>
      </c>
      <c r="K202" s="61"/>
      <c r="L202" s="61"/>
      <c r="M202" s="61"/>
      <c r="N202" s="61"/>
      <c r="O202" s="61"/>
      <c r="P202" s="61"/>
      <c r="Q202" s="181"/>
      <c r="R202" s="28"/>
    </row>
    <row r="203" spans="1:18" x14ac:dyDescent="0.25">
      <c r="A203" s="166"/>
      <c r="B203" s="158"/>
      <c r="C203" s="158" t="s">
        <v>164</v>
      </c>
      <c r="D203" s="54" t="s">
        <v>9</v>
      </c>
      <c r="E203" s="46">
        <f t="shared" ref="E203:J203" si="39">SUM(E204:E208)</f>
        <v>956.71</v>
      </c>
      <c r="F203" s="46">
        <f t="shared" si="39"/>
        <v>956.71</v>
      </c>
      <c r="G203" s="46">
        <f t="shared" si="39"/>
        <v>0</v>
      </c>
      <c r="H203" s="46">
        <f t="shared" si="39"/>
        <v>0</v>
      </c>
      <c r="I203" s="46">
        <f t="shared" si="39"/>
        <v>0</v>
      </c>
      <c r="J203" s="46">
        <f t="shared" si="39"/>
        <v>0</v>
      </c>
      <c r="K203" s="61"/>
      <c r="L203" s="61"/>
      <c r="M203" s="61"/>
      <c r="N203" s="61"/>
      <c r="O203" s="61"/>
      <c r="P203" s="61"/>
      <c r="Q203" s="179" t="s">
        <v>68</v>
      </c>
      <c r="R203" s="28"/>
    </row>
    <row r="204" spans="1:18" x14ac:dyDescent="0.25">
      <c r="A204" s="167"/>
      <c r="B204" s="159"/>
      <c r="C204" s="159"/>
      <c r="D204" s="155" t="s">
        <v>10</v>
      </c>
      <c r="E204" s="156"/>
      <c r="F204" s="156"/>
      <c r="G204" s="156"/>
      <c r="H204" s="156"/>
      <c r="I204" s="156"/>
      <c r="J204" s="157"/>
      <c r="K204" s="61"/>
      <c r="L204" s="61"/>
      <c r="M204" s="61"/>
      <c r="N204" s="61"/>
      <c r="O204" s="61"/>
      <c r="P204" s="61"/>
      <c r="Q204" s="180"/>
      <c r="R204" s="28"/>
    </row>
    <row r="205" spans="1:18" x14ac:dyDescent="0.25">
      <c r="A205" s="167"/>
      <c r="B205" s="159"/>
      <c r="C205" s="159"/>
      <c r="D205" s="54" t="s">
        <v>11</v>
      </c>
      <c r="E205" s="46">
        <f>SUM(F205:J205)</f>
        <v>427.86</v>
      </c>
      <c r="F205" s="46">
        <f>400+27.86</f>
        <v>427.86</v>
      </c>
      <c r="G205" s="46"/>
      <c r="H205" s="46"/>
      <c r="I205" s="46"/>
      <c r="J205" s="46"/>
      <c r="K205" s="61"/>
      <c r="L205" s="61"/>
      <c r="M205" s="61"/>
      <c r="N205" s="61"/>
      <c r="O205" s="61"/>
      <c r="P205" s="61"/>
      <c r="Q205" s="180"/>
      <c r="R205" s="28"/>
    </row>
    <row r="206" spans="1:18" x14ac:dyDescent="0.25">
      <c r="A206" s="167"/>
      <c r="B206" s="159"/>
      <c r="C206" s="159"/>
      <c r="D206" s="54" t="s">
        <v>12</v>
      </c>
      <c r="E206" s="46">
        <f>SUM(F206:J206)</f>
        <v>528.85</v>
      </c>
      <c r="F206" s="46">
        <f>528.85</f>
        <v>528.85</v>
      </c>
      <c r="G206" s="46"/>
      <c r="H206" s="46"/>
      <c r="I206" s="46"/>
      <c r="J206" s="46"/>
      <c r="K206" s="61"/>
      <c r="L206" s="61"/>
      <c r="M206" s="61"/>
      <c r="N206" s="61"/>
      <c r="O206" s="61"/>
      <c r="P206" s="61"/>
      <c r="Q206" s="180"/>
      <c r="R206" s="28"/>
    </row>
    <row r="207" spans="1:18" x14ac:dyDescent="0.25">
      <c r="A207" s="167"/>
      <c r="B207" s="159"/>
      <c r="C207" s="159"/>
      <c r="D207" s="54" t="s">
        <v>13</v>
      </c>
      <c r="E207" s="46">
        <f>SUM(F207:J207)</f>
        <v>0</v>
      </c>
      <c r="F207" s="46"/>
      <c r="G207" s="46"/>
      <c r="H207" s="46"/>
      <c r="I207" s="46"/>
      <c r="J207" s="46"/>
      <c r="K207" s="61"/>
      <c r="L207" s="61"/>
      <c r="M207" s="61"/>
      <c r="N207" s="61"/>
      <c r="O207" s="61"/>
      <c r="P207" s="61"/>
      <c r="Q207" s="180"/>
      <c r="R207" s="28"/>
    </row>
    <row r="208" spans="1:18" x14ac:dyDescent="0.25">
      <c r="A208" s="168"/>
      <c r="B208" s="160"/>
      <c r="C208" s="160"/>
      <c r="D208" s="54" t="s">
        <v>14</v>
      </c>
      <c r="E208" s="46">
        <f>SUM(F208:J208)</f>
        <v>0</v>
      </c>
      <c r="F208" s="46"/>
      <c r="G208" s="46"/>
      <c r="H208" s="46"/>
      <c r="I208" s="46"/>
      <c r="J208" s="46"/>
      <c r="K208" s="61"/>
      <c r="L208" s="61"/>
      <c r="M208" s="61"/>
      <c r="N208" s="61"/>
      <c r="O208" s="61"/>
      <c r="P208" s="61"/>
      <c r="Q208" s="181"/>
      <c r="R208" s="28"/>
    </row>
    <row r="209" spans="1:18" ht="15" customHeight="1" x14ac:dyDescent="0.25">
      <c r="A209" s="166"/>
      <c r="B209" s="158"/>
      <c r="C209" s="158" t="s">
        <v>164</v>
      </c>
      <c r="D209" s="54" t="s">
        <v>9</v>
      </c>
      <c r="E209" s="46">
        <f t="shared" ref="E209:J209" si="40">SUM(E210:E214)</f>
        <v>750</v>
      </c>
      <c r="F209" s="46">
        <f t="shared" si="40"/>
        <v>750</v>
      </c>
      <c r="G209" s="46">
        <f t="shared" si="40"/>
        <v>0</v>
      </c>
      <c r="H209" s="46">
        <f t="shared" si="40"/>
        <v>0</v>
      </c>
      <c r="I209" s="46">
        <f t="shared" si="40"/>
        <v>0</v>
      </c>
      <c r="J209" s="46">
        <f t="shared" si="40"/>
        <v>0</v>
      </c>
      <c r="K209" s="61"/>
      <c r="L209" s="61"/>
      <c r="M209" s="61"/>
      <c r="N209" s="61"/>
      <c r="O209" s="61"/>
      <c r="P209" s="61"/>
      <c r="Q209" s="179" t="s">
        <v>199</v>
      </c>
      <c r="R209" s="28"/>
    </row>
    <row r="210" spans="1:18" x14ac:dyDescent="0.25">
      <c r="A210" s="167"/>
      <c r="B210" s="159"/>
      <c r="C210" s="159"/>
      <c r="D210" s="155" t="s">
        <v>10</v>
      </c>
      <c r="E210" s="156"/>
      <c r="F210" s="156"/>
      <c r="G210" s="156"/>
      <c r="H210" s="156"/>
      <c r="I210" s="156"/>
      <c r="J210" s="157"/>
      <c r="K210" s="61"/>
      <c r="L210" s="61"/>
      <c r="M210" s="61"/>
      <c r="N210" s="61"/>
      <c r="O210" s="61"/>
      <c r="P210" s="61"/>
      <c r="Q210" s="180"/>
      <c r="R210" s="28"/>
    </row>
    <row r="211" spans="1:18" x14ac:dyDescent="0.25">
      <c r="A211" s="167"/>
      <c r="B211" s="159"/>
      <c r="C211" s="159"/>
      <c r="D211" s="54" t="s">
        <v>11</v>
      </c>
      <c r="E211" s="46">
        <f>SUM(F211:J211)</f>
        <v>750</v>
      </c>
      <c r="F211" s="46">
        <f>400+350</f>
        <v>750</v>
      </c>
      <c r="G211" s="46"/>
      <c r="H211" s="46"/>
      <c r="I211" s="46"/>
      <c r="J211" s="46"/>
      <c r="K211" s="61"/>
      <c r="L211" s="61"/>
      <c r="M211" s="61"/>
      <c r="N211" s="61"/>
      <c r="O211" s="61"/>
      <c r="P211" s="61"/>
      <c r="Q211" s="180"/>
      <c r="R211" s="28"/>
    </row>
    <row r="212" spans="1:18" x14ac:dyDescent="0.25">
      <c r="A212" s="167"/>
      <c r="B212" s="159"/>
      <c r="C212" s="159"/>
      <c r="D212" s="54" t="s">
        <v>12</v>
      </c>
      <c r="E212" s="46">
        <f>SUM(F212:J212)</f>
        <v>0</v>
      </c>
      <c r="F212" s="46"/>
      <c r="G212" s="46"/>
      <c r="H212" s="46"/>
      <c r="I212" s="46"/>
      <c r="J212" s="46"/>
      <c r="K212" s="61"/>
      <c r="L212" s="61"/>
      <c r="M212" s="61"/>
      <c r="N212" s="61"/>
      <c r="O212" s="61"/>
      <c r="P212" s="61"/>
      <c r="Q212" s="180"/>
      <c r="R212" s="28"/>
    </row>
    <row r="213" spans="1:18" x14ac:dyDescent="0.25">
      <c r="A213" s="167"/>
      <c r="B213" s="159"/>
      <c r="C213" s="159"/>
      <c r="D213" s="54" t="s">
        <v>13</v>
      </c>
      <c r="E213" s="46">
        <f>SUM(F213:J213)</f>
        <v>0</v>
      </c>
      <c r="F213" s="46"/>
      <c r="G213" s="46"/>
      <c r="H213" s="46"/>
      <c r="I213" s="46"/>
      <c r="J213" s="46"/>
      <c r="K213" s="61"/>
      <c r="L213" s="61"/>
      <c r="M213" s="61"/>
      <c r="N213" s="61"/>
      <c r="O213" s="61"/>
      <c r="P213" s="61"/>
      <c r="Q213" s="180"/>
      <c r="R213" s="28"/>
    </row>
    <row r="214" spans="1:18" x14ac:dyDescent="0.25">
      <c r="A214" s="168"/>
      <c r="B214" s="160"/>
      <c r="C214" s="160"/>
      <c r="D214" s="54" t="s">
        <v>14</v>
      </c>
      <c r="E214" s="46">
        <f>SUM(F214:J214)</f>
        <v>0</v>
      </c>
      <c r="F214" s="46"/>
      <c r="G214" s="46"/>
      <c r="H214" s="46"/>
      <c r="I214" s="46"/>
      <c r="J214" s="46"/>
      <c r="K214" s="61"/>
      <c r="L214" s="61"/>
      <c r="M214" s="61"/>
      <c r="N214" s="61"/>
      <c r="O214" s="61"/>
      <c r="P214" s="61"/>
      <c r="Q214" s="181"/>
      <c r="R214" s="28"/>
    </row>
    <row r="215" spans="1:18" ht="15" customHeight="1" x14ac:dyDescent="0.25">
      <c r="A215" s="166" t="s">
        <v>205</v>
      </c>
      <c r="B215" s="158" t="s">
        <v>195</v>
      </c>
      <c r="C215" s="158" t="s">
        <v>167</v>
      </c>
      <c r="D215" s="54" t="s">
        <v>9</v>
      </c>
      <c r="E215" s="46">
        <f t="shared" ref="E215:J215" si="41">SUM(E216:E220)</f>
        <v>0</v>
      </c>
      <c r="F215" s="46">
        <f t="shared" si="41"/>
        <v>0</v>
      </c>
      <c r="G215" s="46">
        <f t="shared" si="41"/>
        <v>0</v>
      </c>
      <c r="H215" s="46">
        <f t="shared" si="41"/>
        <v>0</v>
      </c>
      <c r="I215" s="46">
        <f t="shared" si="41"/>
        <v>0</v>
      </c>
      <c r="J215" s="46">
        <f t="shared" si="41"/>
        <v>0</v>
      </c>
      <c r="K215" s="61"/>
      <c r="L215" s="61"/>
      <c r="M215" s="61"/>
      <c r="N215" s="61"/>
      <c r="O215" s="61"/>
      <c r="P215" s="61"/>
      <c r="Q215" s="179" t="s">
        <v>69</v>
      </c>
      <c r="R215" s="28"/>
    </row>
    <row r="216" spans="1:18" x14ac:dyDescent="0.25">
      <c r="A216" s="167"/>
      <c r="B216" s="159"/>
      <c r="C216" s="159"/>
      <c r="D216" s="155" t="s">
        <v>10</v>
      </c>
      <c r="E216" s="156"/>
      <c r="F216" s="156"/>
      <c r="G216" s="156"/>
      <c r="H216" s="156"/>
      <c r="I216" s="156"/>
      <c r="J216" s="157"/>
      <c r="K216" s="61"/>
      <c r="L216" s="61"/>
      <c r="M216" s="61"/>
      <c r="N216" s="61"/>
      <c r="O216" s="61"/>
      <c r="P216" s="61"/>
      <c r="Q216" s="180"/>
      <c r="R216" s="28"/>
    </row>
    <row r="217" spans="1:18" x14ac:dyDescent="0.25">
      <c r="A217" s="167"/>
      <c r="B217" s="159"/>
      <c r="C217" s="159"/>
      <c r="D217" s="54" t="s">
        <v>11</v>
      </c>
      <c r="E217" s="46">
        <f>SUM(F217:J217)</f>
        <v>0</v>
      </c>
      <c r="F217" s="46">
        <v>0</v>
      </c>
      <c r="G217" s="46">
        <v>0</v>
      </c>
      <c r="H217" s="46">
        <v>0</v>
      </c>
      <c r="I217" s="46">
        <v>0</v>
      </c>
      <c r="J217" s="46">
        <v>0</v>
      </c>
      <c r="K217" s="61"/>
      <c r="L217" s="61"/>
      <c r="M217" s="61"/>
      <c r="N217" s="61"/>
      <c r="O217" s="61"/>
      <c r="P217" s="61"/>
      <c r="Q217" s="180"/>
      <c r="R217" s="28"/>
    </row>
    <row r="218" spans="1:18" x14ac:dyDescent="0.25">
      <c r="A218" s="167"/>
      <c r="B218" s="159"/>
      <c r="C218" s="159"/>
      <c r="D218" s="54" t="s">
        <v>12</v>
      </c>
      <c r="E218" s="46">
        <f>SUM(F218:J218)</f>
        <v>0</v>
      </c>
      <c r="F218" s="46">
        <v>0</v>
      </c>
      <c r="G218" s="46">
        <v>0</v>
      </c>
      <c r="H218" s="46">
        <v>0</v>
      </c>
      <c r="I218" s="46">
        <v>0</v>
      </c>
      <c r="J218" s="46">
        <v>0</v>
      </c>
      <c r="K218" s="61"/>
      <c r="L218" s="61"/>
      <c r="M218" s="61"/>
      <c r="N218" s="61"/>
      <c r="O218" s="61"/>
      <c r="P218" s="61"/>
      <c r="Q218" s="180"/>
      <c r="R218" s="28"/>
    </row>
    <row r="219" spans="1:18" x14ac:dyDescent="0.25">
      <c r="A219" s="167"/>
      <c r="B219" s="159"/>
      <c r="C219" s="159"/>
      <c r="D219" s="54" t="s">
        <v>13</v>
      </c>
      <c r="E219" s="46">
        <f>SUM(F219:J219)</f>
        <v>0</v>
      </c>
      <c r="F219" s="46">
        <v>0</v>
      </c>
      <c r="G219" s="46">
        <v>0</v>
      </c>
      <c r="H219" s="46">
        <v>0</v>
      </c>
      <c r="I219" s="46">
        <v>0</v>
      </c>
      <c r="J219" s="46">
        <v>0</v>
      </c>
      <c r="K219" s="61"/>
      <c r="L219" s="61"/>
      <c r="M219" s="61"/>
      <c r="N219" s="61"/>
      <c r="O219" s="61"/>
      <c r="P219" s="61"/>
      <c r="Q219" s="180"/>
      <c r="R219" s="28"/>
    </row>
    <row r="220" spans="1:18" x14ac:dyDescent="0.25">
      <c r="A220" s="168"/>
      <c r="B220" s="160"/>
      <c r="C220" s="160"/>
      <c r="D220" s="54" t="s">
        <v>14</v>
      </c>
      <c r="E220" s="46">
        <f>SUM(F220:J220)</f>
        <v>0</v>
      </c>
      <c r="F220" s="46">
        <v>0</v>
      </c>
      <c r="G220" s="46">
        <v>0</v>
      </c>
      <c r="H220" s="46">
        <v>0</v>
      </c>
      <c r="I220" s="46">
        <v>0</v>
      </c>
      <c r="J220" s="46">
        <v>0</v>
      </c>
      <c r="K220" s="61"/>
      <c r="L220" s="61"/>
      <c r="M220" s="61"/>
      <c r="N220" s="61"/>
      <c r="O220" s="61"/>
      <c r="P220" s="61"/>
      <c r="Q220" s="181"/>
      <c r="R220" s="28"/>
    </row>
    <row r="221" spans="1:18" ht="15" customHeight="1" x14ac:dyDescent="0.25">
      <c r="A221" s="166" t="s">
        <v>206</v>
      </c>
      <c r="B221" s="158" t="s">
        <v>79</v>
      </c>
      <c r="C221" s="158" t="s">
        <v>164</v>
      </c>
      <c r="D221" s="54" t="s">
        <v>9</v>
      </c>
      <c r="E221" s="46">
        <f t="shared" ref="E221:J221" si="42">SUM(E222:E226)</f>
        <v>1134.5999999999999</v>
      </c>
      <c r="F221" s="46">
        <f t="shared" si="42"/>
        <v>1134.5999999999999</v>
      </c>
      <c r="G221" s="46">
        <f t="shared" si="42"/>
        <v>0</v>
      </c>
      <c r="H221" s="46">
        <f t="shared" si="42"/>
        <v>0</v>
      </c>
      <c r="I221" s="46">
        <f t="shared" si="42"/>
        <v>0</v>
      </c>
      <c r="J221" s="46">
        <f t="shared" si="42"/>
        <v>0</v>
      </c>
      <c r="K221" s="61"/>
      <c r="L221" s="61"/>
      <c r="M221" s="61"/>
      <c r="N221" s="61"/>
      <c r="O221" s="61"/>
      <c r="P221" s="61"/>
      <c r="Q221" s="179" t="s">
        <v>69</v>
      </c>
      <c r="R221" s="28"/>
    </row>
    <row r="222" spans="1:18" x14ac:dyDescent="0.25">
      <c r="A222" s="167"/>
      <c r="B222" s="159"/>
      <c r="C222" s="159"/>
      <c r="D222" s="155" t="s">
        <v>10</v>
      </c>
      <c r="E222" s="156"/>
      <c r="F222" s="156"/>
      <c r="G222" s="156"/>
      <c r="H222" s="156"/>
      <c r="I222" s="156"/>
      <c r="J222" s="157"/>
      <c r="K222" s="61"/>
      <c r="L222" s="61"/>
      <c r="M222" s="61"/>
      <c r="N222" s="61"/>
      <c r="O222" s="61"/>
      <c r="P222" s="61"/>
      <c r="Q222" s="180"/>
      <c r="R222" s="28"/>
    </row>
    <row r="223" spans="1:18" x14ac:dyDescent="0.25">
      <c r="A223" s="167"/>
      <c r="B223" s="159"/>
      <c r="C223" s="159"/>
      <c r="D223" s="54" t="s">
        <v>11</v>
      </c>
      <c r="E223" s="46">
        <f>SUM(F223:J223)</f>
        <v>56.8</v>
      </c>
      <c r="F223" s="46">
        <v>56.8</v>
      </c>
      <c r="G223" s="46">
        <v>0</v>
      </c>
      <c r="H223" s="46">
        <v>0</v>
      </c>
      <c r="I223" s="46">
        <v>0</v>
      </c>
      <c r="J223" s="46">
        <v>0</v>
      </c>
      <c r="K223" s="61"/>
      <c r="L223" s="61"/>
      <c r="M223" s="61"/>
      <c r="N223" s="61"/>
      <c r="O223" s="61"/>
      <c r="P223" s="61"/>
      <c r="Q223" s="180"/>
      <c r="R223" s="28"/>
    </row>
    <row r="224" spans="1:18" x14ac:dyDescent="0.25">
      <c r="A224" s="167"/>
      <c r="B224" s="159"/>
      <c r="C224" s="159"/>
      <c r="D224" s="54" t="s">
        <v>12</v>
      </c>
      <c r="E224" s="46">
        <f>SUM(F224:J224)</f>
        <v>1077.8</v>
      </c>
      <c r="F224" s="46">
        <v>1077.8</v>
      </c>
      <c r="G224" s="46">
        <v>0</v>
      </c>
      <c r="H224" s="46">
        <v>0</v>
      </c>
      <c r="I224" s="46">
        <v>0</v>
      </c>
      <c r="J224" s="46">
        <v>0</v>
      </c>
      <c r="K224" s="61"/>
      <c r="L224" s="61"/>
      <c r="M224" s="61"/>
      <c r="N224" s="61"/>
      <c r="O224" s="61"/>
      <c r="P224" s="61"/>
      <c r="Q224" s="180"/>
      <c r="R224" s="28"/>
    </row>
    <row r="225" spans="1:18" x14ac:dyDescent="0.25">
      <c r="A225" s="167"/>
      <c r="B225" s="159"/>
      <c r="C225" s="159"/>
      <c r="D225" s="54" t="s">
        <v>13</v>
      </c>
      <c r="E225" s="46">
        <f>SUM(F225:J225)</f>
        <v>0</v>
      </c>
      <c r="F225" s="46">
        <v>0</v>
      </c>
      <c r="G225" s="46">
        <v>0</v>
      </c>
      <c r="H225" s="46">
        <v>0</v>
      </c>
      <c r="I225" s="46">
        <v>0</v>
      </c>
      <c r="J225" s="46">
        <v>0</v>
      </c>
      <c r="K225" s="61"/>
      <c r="L225" s="61"/>
      <c r="M225" s="61"/>
      <c r="N225" s="61"/>
      <c r="O225" s="61"/>
      <c r="P225" s="61"/>
      <c r="Q225" s="180"/>
      <c r="R225" s="28"/>
    </row>
    <row r="226" spans="1:18" x14ac:dyDescent="0.25">
      <c r="A226" s="168"/>
      <c r="B226" s="160"/>
      <c r="C226" s="160"/>
      <c r="D226" s="54" t="s">
        <v>14</v>
      </c>
      <c r="E226" s="46">
        <f>SUM(F226:J226)</f>
        <v>0</v>
      </c>
      <c r="F226" s="46">
        <v>0</v>
      </c>
      <c r="G226" s="46">
        <v>0</v>
      </c>
      <c r="H226" s="46">
        <v>0</v>
      </c>
      <c r="I226" s="46">
        <v>0</v>
      </c>
      <c r="J226" s="46">
        <v>0</v>
      </c>
      <c r="K226" s="61"/>
      <c r="L226" s="61"/>
      <c r="M226" s="61"/>
      <c r="N226" s="61"/>
      <c r="O226" s="61"/>
      <c r="P226" s="61"/>
      <c r="Q226" s="181"/>
      <c r="R226" s="28"/>
    </row>
    <row r="227" spans="1:18" ht="15" customHeight="1" x14ac:dyDescent="0.25">
      <c r="A227" s="166" t="s">
        <v>207</v>
      </c>
      <c r="B227" s="158" t="s">
        <v>81</v>
      </c>
      <c r="C227" s="158" t="s">
        <v>286</v>
      </c>
      <c r="D227" s="54" t="s">
        <v>9</v>
      </c>
      <c r="E227" s="46">
        <f t="shared" ref="E227:J227" si="43">SUM(E228:E232)</f>
        <v>3250.2919999999999</v>
      </c>
      <c r="F227" s="46">
        <f t="shared" si="43"/>
        <v>3250.2919999999999</v>
      </c>
      <c r="G227" s="46">
        <f t="shared" si="43"/>
        <v>0</v>
      </c>
      <c r="H227" s="46">
        <f t="shared" si="43"/>
        <v>0</v>
      </c>
      <c r="I227" s="46">
        <f t="shared" si="43"/>
        <v>0</v>
      </c>
      <c r="J227" s="46">
        <f t="shared" si="43"/>
        <v>0</v>
      </c>
      <c r="K227" s="61"/>
      <c r="L227" s="61"/>
      <c r="M227" s="61"/>
      <c r="N227" s="61"/>
      <c r="O227" s="61"/>
      <c r="P227" s="61"/>
      <c r="Q227" s="186" t="s">
        <v>276</v>
      </c>
      <c r="R227" s="28"/>
    </row>
    <row r="228" spans="1:18" x14ac:dyDescent="0.25">
      <c r="A228" s="167"/>
      <c r="B228" s="159"/>
      <c r="C228" s="159"/>
      <c r="D228" s="155" t="s">
        <v>10</v>
      </c>
      <c r="E228" s="156"/>
      <c r="F228" s="156"/>
      <c r="G228" s="156"/>
      <c r="H228" s="156"/>
      <c r="I228" s="156"/>
      <c r="J228" s="157"/>
      <c r="K228" s="61"/>
      <c r="L228" s="61"/>
      <c r="M228" s="61"/>
      <c r="N228" s="61"/>
      <c r="O228" s="61"/>
      <c r="P228" s="61"/>
      <c r="Q228" s="187"/>
      <c r="R228" s="28"/>
    </row>
    <row r="229" spans="1:18" x14ac:dyDescent="0.25">
      <c r="A229" s="167"/>
      <c r="B229" s="159"/>
      <c r="C229" s="159"/>
      <c r="D229" s="54" t="s">
        <v>11</v>
      </c>
      <c r="E229" s="46">
        <f>SUM(F229:J229)</f>
        <v>2336.442</v>
      </c>
      <c r="F229" s="46">
        <f>F235+F253+F241+F247</f>
        <v>2336.442</v>
      </c>
      <c r="G229" s="46">
        <f t="shared" ref="G229:J229" si="44">G235+G253+G241+G247</f>
        <v>0</v>
      </c>
      <c r="H229" s="46">
        <f t="shared" si="44"/>
        <v>0</v>
      </c>
      <c r="I229" s="46">
        <f t="shared" si="44"/>
        <v>0</v>
      </c>
      <c r="J229" s="46">
        <f t="shared" si="44"/>
        <v>0</v>
      </c>
      <c r="K229" s="61"/>
      <c r="L229" s="61"/>
      <c r="M229" s="61"/>
      <c r="N229" s="61"/>
      <c r="O229" s="61"/>
      <c r="P229" s="61"/>
      <c r="Q229" s="187"/>
      <c r="R229" s="28"/>
    </row>
    <row r="230" spans="1:18" x14ac:dyDescent="0.25">
      <c r="A230" s="167"/>
      <c r="B230" s="159"/>
      <c r="C230" s="159"/>
      <c r="D230" s="54" t="s">
        <v>12</v>
      </c>
      <c r="E230" s="46">
        <f>SUM(F230:J230)</f>
        <v>913.85</v>
      </c>
      <c r="F230" s="46">
        <f t="shared" ref="F230:J232" si="45">F236+F254+F242+F248</f>
        <v>913.85</v>
      </c>
      <c r="G230" s="46">
        <f t="shared" si="45"/>
        <v>0</v>
      </c>
      <c r="H230" s="46">
        <f t="shared" si="45"/>
        <v>0</v>
      </c>
      <c r="I230" s="46">
        <f t="shared" si="45"/>
        <v>0</v>
      </c>
      <c r="J230" s="46">
        <f t="shared" si="45"/>
        <v>0</v>
      </c>
      <c r="K230" s="61"/>
      <c r="L230" s="61"/>
      <c r="M230" s="61"/>
      <c r="N230" s="61"/>
      <c r="O230" s="61"/>
      <c r="P230" s="61"/>
      <c r="Q230" s="187"/>
      <c r="R230" s="28"/>
    </row>
    <row r="231" spans="1:18" x14ac:dyDescent="0.25">
      <c r="A231" s="167"/>
      <c r="B231" s="159"/>
      <c r="C231" s="159"/>
      <c r="D231" s="54" t="s">
        <v>13</v>
      </c>
      <c r="E231" s="46">
        <f>SUM(F231:J231)</f>
        <v>0</v>
      </c>
      <c r="F231" s="46">
        <f t="shared" si="45"/>
        <v>0</v>
      </c>
      <c r="G231" s="46">
        <f t="shared" si="45"/>
        <v>0</v>
      </c>
      <c r="H231" s="46">
        <f t="shared" si="45"/>
        <v>0</v>
      </c>
      <c r="I231" s="46">
        <f t="shared" si="45"/>
        <v>0</v>
      </c>
      <c r="J231" s="46">
        <f t="shared" si="45"/>
        <v>0</v>
      </c>
      <c r="K231" s="61"/>
      <c r="L231" s="61"/>
      <c r="M231" s="61"/>
      <c r="N231" s="61"/>
      <c r="O231" s="61"/>
      <c r="P231" s="61"/>
      <c r="Q231" s="187"/>
      <c r="R231" s="28"/>
    </row>
    <row r="232" spans="1:18" x14ac:dyDescent="0.25">
      <c r="A232" s="168"/>
      <c r="B232" s="160"/>
      <c r="C232" s="160"/>
      <c r="D232" s="54" t="s">
        <v>14</v>
      </c>
      <c r="E232" s="46">
        <f>SUM(F232:J232)</f>
        <v>0</v>
      </c>
      <c r="F232" s="46">
        <f t="shared" si="45"/>
        <v>0</v>
      </c>
      <c r="G232" s="46">
        <f t="shared" si="45"/>
        <v>0</v>
      </c>
      <c r="H232" s="46">
        <f t="shared" si="45"/>
        <v>0</v>
      </c>
      <c r="I232" s="46">
        <f t="shared" si="45"/>
        <v>0</v>
      </c>
      <c r="J232" s="46">
        <f t="shared" si="45"/>
        <v>0</v>
      </c>
      <c r="K232" s="61"/>
      <c r="L232" s="61"/>
      <c r="M232" s="61"/>
      <c r="N232" s="61"/>
      <c r="O232" s="61"/>
      <c r="P232" s="61"/>
      <c r="Q232" s="188"/>
      <c r="R232" s="28"/>
    </row>
    <row r="233" spans="1:18" x14ac:dyDescent="0.25">
      <c r="A233" s="166"/>
      <c r="B233" s="158"/>
      <c r="C233" s="158" t="s">
        <v>286</v>
      </c>
      <c r="D233" s="54" t="s">
        <v>9</v>
      </c>
      <c r="E233" s="46">
        <f t="shared" ref="E233:J233" si="46">SUM(E234:E238)</f>
        <v>961.99</v>
      </c>
      <c r="F233" s="46">
        <f t="shared" si="46"/>
        <v>961.99</v>
      </c>
      <c r="G233" s="46">
        <f t="shared" si="46"/>
        <v>0</v>
      </c>
      <c r="H233" s="46">
        <f t="shared" si="46"/>
        <v>0</v>
      </c>
      <c r="I233" s="46">
        <f t="shared" si="46"/>
        <v>0</v>
      </c>
      <c r="J233" s="46">
        <f t="shared" si="46"/>
        <v>0</v>
      </c>
      <c r="K233" s="61"/>
      <c r="L233" s="61"/>
      <c r="M233" s="61"/>
      <c r="N233" s="61"/>
      <c r="O233" s="61"/>
      <c r="P233" s="61"/>
      <c r="Q233" s="179" t="s">
        <v>68</v>
      </c>
      <c r="R233" s="28"/>
    </row>
    <row r="234" spans="1:18" x14ac:dyDescent="0.25">
      <c r="A234" s="167"/>
      <c r="B234" s="159"/>
      <c r="C234" s="159"/>
      <c r="D234" s="155" t="s">
        <v>10</v>
      </c>
      <c r="E234" s="156"/>
      <c r="F234" s="156"/>
      <c r="G234" s="156"/>
      <c r="H234" s="156"/>
      <c r="I234" s="156"/>
      <c r="J234" s="157"/>
      <c r="K234" s="61"/>
      <c r="L234" s="61"/>
      <c r="M234" s="61"/>
      <c r="N234" s="61"/>
      <c r="O234" s="61"/>
      <c r="P234" s="61"/>
      <c r="Q234" s="180"/>
      <c r="R234" s="28"/>
    </row>
    <row r="235" spans="1:18" x14ac:dyDescent="0.25">
      <c r="A235" s="167"/>
      <c r="B235" s="159"/>
      <c r="C235" s="159"/>
      <c r="D235" s="54" t="s">
        <v>11</v>
      </c>
      <c r="E235" s="46">
        <f>SUM(F235:J235)</f>
        <v>48.14</v>
      </c>
      <c r="F235" s="46">
        <f>76-27.86</f>
        <v>48.14</v>
      </c>
      <c r="G235" s="46">
        <f>400-72.67-131.9542-159.59495-35.78085</f>
        <v>0</v>
      </c>
      <c r="H235" s="46"/>
      <c r="I235" s="46"/>
      <c r="J235" s="46"/>
      <c r="K235" s="61"/>
      <c r="L235" s="61"/>
      <c r="M235" s="61"/>
      <c r="N235" s="61"/>
      <c r="O235" s="61"/>
      <c r="P235" s="61"/>
      <c r="Q235" s="180"/>
      <c r="R235" s="28"/>
    </row>
    <row r="236" spans="1:18" x14ac:dyDescent="0.25">
      <c r="A236" s="167"/>
      <c r="B236" s="159"/>
      <c r="C236" s="159"/>
      <c r="D236" s="54" t="s">
        <v>12</v>
      </c>
      <c r="E236" s="46">
        <f>SUM(F236:J236)</f>
        <v>913.85</v>
      </c>
      <c r="F236" s="46">
        <f>1442.7-528.85</f>
        <v>913.85</v>
      </c>
      <c r="G236" s="46"/>
      <c r="H236" s="46"/>
      <c r="I236" s="46"/>
      <c r="J236" s="46"/>
      <c r="K236" s="61"/>
      <c r="L236" s="61"/>
      <c r="M236" s="61"/>
      <c r="N236" s="61"/>
      <c r="O236" s="61"/>
      <c r="P236" s="61"/>
      <c r="Q236" s="180"/>
      <c r="R236" s="28"/>
    </row>
    <row r="237" spans="1:18" x14ac:dyDescent="0.25">
      <c r="A237" s="167"/>
      <c r="B237" s="159"/>
      <c r="C237" s="159"/>
      <c r="D237" s="54" t="s">
        <v>13</v>
      </c>
      <c r="E237" s="46">
        <f>SUM(F237:J237)</f>
        <v>0</v>
      </c>
      <c r="F237" s="46"/>
      <c r="G237" s="46"/>
      <c r="H237" s="46"/>
      <c r="I237" s="46"/>
      <c r="J237" s="46"/>
      <c r="K237" s="61"/>
      <c r="L237" s="61"/>
      <c r="M237" s="61"/>
      <c r="N237" s="61"/>
      <c r="O237" s="61"/>
      <c r="P237" s="61"/>
      <c r="Q237" s="180"/>
      <c r="R237" s="28"/>
    </row>
    <row r="238" spans="1:18" x14ac:dyDescent="0.25">
      <c r="A238" s="168"/>
      <c r="B238" s="160"/>
      <c r="C238" s="160"/>
      <c r="D238" s="54" t="s">
        <v>14</v>
      </c>
      <c r="E238" s="46">
        <f>SUM(F238:J238)</f>
        <v>0</v>
      </c>
      <c r="F238" s="46"/>
      <c r="G238" s="46"/>
      <c r="H238" s="46"/>
      <c r="I238" s="46"/>
      <c r="J238" s="46"/>
      <c r="K238" s="61"/>
      <c r="L238" s="61"/>
      <c r="M238" s="61"/>
      <c r="N238" s="61"/>
      <c r="O238" s="61"/>
      <c r="P238" s="61"/>
      <c r="Q238" s="181"/>
      <c r="R238" s="28"/>
    </row>
    <row r="239" spans="1:18" x14ac:dyDescent="0.25">
      <c r="A239" s="166"/>
      <c r="B239" s="158"/>
      <c r="C239" s="158" t="s">
        <v>164</v>
      </c>
      <c r="D239" s="54" t="s">
        <v>9</v>
      </c>
      <c r="E239" s="46">
        <f t="shared" ref="E239:J239" si="47">SUM(E240:E244)</f>
        <v>174.31700000000001</v>
      </c>
      <c r="F239" s="46">
        <f t="shared" si="47"/>
        <v>174.31700000000001</v>
      </c>
      <c r="G239" s="46">
        <f t="shared" si="47"/>
        <v>0</v>
      </c>
      <c r="H239" s="46">
        <f t="shared" si="47"/>
        <v>0</v>
      </c>
      <c r="I239" s="46">
        <f t="shared" si="47"/>
        <v>0</v>
      </c>
      <c r="J239" s="46">
        <f t="shared" si="47"/>
        <v>0</v>
      </c>
      <c r="K239" s="61"/>
      <c r="L239" s="61"/>
      <c r="M239" s="61"/>
      <c r="N239" s="61"/>
      <c r="O239" s="61"/>
      <c r="P239" s="61"/>
      <c r="Q239" s="179" t="s">
        <v>69</v>
      </c>
      <c r="R239" s="28"/>
    </row>
    <row r="240" spans="1:18" x14ac:dyDescent="0.25">
      <c r="A240" s="167"/>
      <c r="B240" s="159"/>
      <c r="C240" s="159"/>
      <c r="D240" s="155" t="s">
        <v>10</v>
      </c>
      <c r="E240" s="156"/>
      <c r="F240" s="156"/>
      <c r="G240" s="156"/>
      <c r="H240" s="156"/>
      <c r="I240" s="156"/>
      <c r="J240" s="157"/>
      <c r="K240" s="61"/>
      <c r="L240" s="61"/>
      <c r="M240" s="61"/>
      <c r="N240" s="61"/>
      <c r="O240" s="61"/>
      <c r="P240" s="61"/>
      <c r="Q240" s="180"/>
      <c r="R240" s="28"/>
    </row>
    <row r="241" spans="1:18" x14ac:dyDescent="0.25">
      <c r="A241" s="167"/>
      <c r="B241" s="159"/>
      <c r="C241" s="159"/>
      <c r="D241" s="54" t="s">
        <v>11</v>
      </c>
      <c r="E241" s="46">
        <f>SUM(F241:J241)</f>
        <v>174.31700000000001</v>
      </c>
      <c r="F241" s="46">
        <v>174.31700000000001</v>
      </c>
      <c r="G241" s="46"/>
      <c r="H241" s="46"/>
      <c r="I241" s="46"/>
      <c r="J241" s="46"/>
      <c r="K241" s="61"/>
      <c r="L241" s="61"/>
      <c r="M241" s="61"/>
      <c r="N241" s="61"/>
      <c r="O241" s="61"/>
      <c r="P241" s="61"/>
      <c r="Q241" s="180"/>
      <c r="R241" s="28"/>
    </row>
    <row r="242" spans="1:18" x14ac:dyDescent="0.25">
      <c r="A242" s="167"/>
      <c r="B242" s="159"/>
      <c r="C242" s="159"/>
      <c r="D242" s="54" t="s">
        <v>12</v>
      </c>
      <c r="E242" s="46">
        <f>SUM(F242:J242)</f>
        <v>0</v>
      </c>
      <c r="F242" s="46"/>
      <c r="G242" s="46"/>
      <c r="H242" s="46"/>
      <c r="I242" s="46"/>
      <c r="J242" s="46"/>
      <c r="K242" s="61"/>
      <c r="L242" s="61"/>
      <c r="M242" s="61"/>
      <c r="N242" s="61"/>
      <c r="O242" s="61"/>
      <c r="P242" s="61"/>
      <c r="Q242" s="180"/>
      <c r="R242" s="28"/>
    </row>
    <row r="243" spans="1:18" x14ac:dyDescent="0.25">
      <c r="A243" s="167"/>
      <c r="B243" s="159"/>
      <c r="C243" s="159"/>
      <c r="D243" s="54" t="s">
        <v>13</v>
      </c>
      <c r="E243" s="46">
        <f>SUM(F243:J243)</f>
        <v>0</v>
      </c>
      <c r="F243" s="46"/>
      <c r="G243" s="46"/>
      <c r="H243" s="46"/>
      <c r="I243" s="46"/>
      <c r="J243" s="46"/>
      <c r="K243" s="61"/>
      <c r="L243" s="61"/>
      <c r="M243" s="61"/>
      <c r="N243" s="61"/>
      <c r="O243" s="61"/>
      <c r="P243" s="61"/>
      <c r="Q243" s="180"/>
      <c r="R243" s="28"/>
    </row>
    <row r="244" spans="1:18" x14ac:dyDescent="0.25">
      <c r="A244" s="168"/>
      <c r="B244" s="160"/>
      <c r="C244" s="160"/>
      <c r="D244" s="54" t="s">
        <v>14</v>
      </c>
      <c r="E244" s="46">
        <f>SUM(F244:J244)</f>
        <v>0</v>
      </c>
      <c r="F244" s="46"/>
      <c r="G244" s="46"/>
      <c r="H244" s="46"/>
      <c r="I244" s="46"/>
      <c r="J244" s="46"/>
      <c r="K244" s="61"/>
      <c r="L244" s="61"/>
      <c r="M244" s="61"/>
      <c r="N244" s="61"/>
      <c r="O244" s="61"/>
      <c r="P244" s="61"/>
      <c r="Q244" s="181"/>
      <c r="R244" s="28"/>
    </row>
    <row r="245" spans="1:18" ht="14.45" customHeight="1" x14ac:dyDescent="0.25">
      <c r="A245" s="166"/>
      <c r="B245" s="158"/>
      <c r="C245" s="158" t="s">
        <v>164</v>
      </c>
      <c r="D245" s="54" t="s">
        <v>9</v>
      </c>
      <c r="E245" s="46">
        <f t="shared" ref="E245:J245" si="48">SUM(E246:E250)</f>
        <v>580</v>
      </c>
      <c r="F245" s="46">
        <f t="shared" si="48"/>
        <v>580</v>
      </c>
      <c r="G245" s="46">
        <f t="shared" si="48"/>
        <v>0</v>
      </c>
      <c r="H245" s="46">
        <f t="shared" si="48"/>
        <v>0</v>
      </c>
      <c r="I245" s="46">
        <f t="shared" si="48"/>
        <v>0</v>
      </c>
      <c r="J245" s="46">
        <f t="shared" si="48"/>
        <v>0</v>
      </c>
      <c r="K245" s="61"/>
      <c r="L245" s="61"/>
      <c r="M245" s="61"/>
      <c r="N245" s="61"/>
      <c r="O245" s="61"/>
      <c r="P245" s="61"/>
      <c r="Q245" s="179" t="s">
        <v>80</v>
      </c>
      <c r="R245" s="28"/>
    </row>
    <row r="246" spans="1:18" x14ac:dyDescent="0.25">
      <c r="A246" s="167"/>
      <c r="B246" s="159"/>
      <c r="C246" s="159"/>
      <c r="D246" s="155" t="s">
        <v>10</v>
      </c>
      <c r="E246" s="156"/>
      <c r="F246" s="156"/>
      <c r="G246" s="156"/>
      <c r="H246" s="156"/>
      <c r="I246" s="156"/>
      <c r="J246" s="157"/>
      <c r="K246" s="61"/>
      <c r="L246" s="61"/>
      <c r="M246" s="61"/>
      <c r="N246" s="61"/>
      <c r="O246" s="61"/>
      <c r="P246" s="61"/>
      <c r="Q246" s="180"/>
      <c r="R246" s="28"/>
    </row>
    <row r="247" spans="1:18" x14ac:dyDescent="0.25">
      <c r="A247" s="167"/>
      <c r="B247" s="159"/>
      <c r="C247" s="159"/>
      <c r="D247" s="54" t="s">
        <v>11</v>
      </c>
      <c r="E247" s="46">
        <f>SUM(F247:J247)</f>
        <v>580</v>
      </c>
      <c r="F247" s="46">
        <v>580</v>
      </c>
      <c r="G247" s="46"/>
      <c r="H247" s="46"/>
      <c r="I247" s="46"/>
      <c r="J247" s="46"/>
      <c r="K247" s="61"/>
      <c r="L247" s="61"/>
      <c r="M247" s="61"/>
      <c r="N247" s="61"/>
      <c r="O247" s="61"/>
      <c r="P247" s="61"/>
      <c r="Q247" s="180"/>
      <c r="R247" s="28"/>
    </row>
    <row r="248" spans="1:18" x14ac:dyDescent="0.25">
      <c r="A248" s="167"/>
      <c r="B248" s="159"/>
      <c r="C248" s="159"/>
      <c r="D248" s="54" t="s">
        <v>12</v>
      </c>
      <c r="E248" s="46">
        <f>SUM(F248:J248)</f>
        <v>0</v>
      </c>
      <c r="F248" s="46"/>
      <c r="G248" s="46"/>
      <c r="H248" s="46"/>
      <c r="I248" s="46"/>
      <c r="J248" s="46"/>
      <c r="K248" s="61"/>
      <c r="L248" s="61"/>
      <c r="M248" s="61"/>
      <c r="N248" s="61"/>
      <c r="O248" s="61"/>
      <c r="P248" s="61"/>
      <c r="Q248" s="180"/>
      <c r="R248" s="28"/>
    </row>
    <row r="249" spans="1:18" x14ac:dyDescent="0.25">
      <c r="A249" s="167"/>
      <c r="B249" s="159"/>
      <c r="C249" s="159"/>
      <c r="D249" s="54" t="s">
        <v>13</v>
      </c>
      <c r="E249" s="46">
        <f>SUM(F249:J249)</f>
        <v>0</v>
      </c>
      <c r="F249" s="46"/>
      <c r="G249" s="46"/>
      <c r="H249" s="46"/>
      <c r="I249" s="46"/>
      <c r="J249" s="46"/>
      <c r="K249" s="61"/>
      <c r="L249" s="61"/>
      <c r="M249" s="61"/>
      <c r="N249" s="61"/>
      <c r="O249" s="61"/>
      <c r="P249" s="61"/>
      <c r="Q249" s="180"/>
      <c r="R249" s="28"/>
    </row>
    <row r="250" spans="1:18" x14ac:dyDescent="0.25">
      <c r="A250" s="168"/>
      <c r="B250" s="160"/>
      <c r="C250" s="160"/>
      <c r="D250" s="54" t="s">
        <v>14</v>
      </c>
      <c r="E250" s="46">
        <f>SUM(F250:J250)</f>
        <v>0</v>
      </c>
      <c r="F250" s="46"/>
      <c r="G250" s="46"/>
      <c r="H250" s="46"/>
      <c r="I250" s="46"/>
      <c r="J250" s="46"/>
      <c r="K250" s="61"/>
      <c r="L250" s="61"/>
      <c r="M250" s="61"/>
      <c r="N250" s="61"/>
      <c r="O250" s="61"/>
      <c r="P250" s="61"/>
      <c r="Q250" s="181"/>
      <c r="R250" s="28"/>
    </row>
    <row r="251" spans="1:18" ht="15" customHeight="1" x14ac:dyDescent="0.25">
      <c r="A251" s="166"/>
      <c r="B251" s="158"/>
      <c r="C251" s="158" t="s">
        <v>164</v>
      </c>
      <c r="D251" s="54" t="s">
        <v>9</v>
      </c>
      <c r="E251" s="46">
        <f t="shared" ref="E251:J251" si="49">SUM(E252:E256)</f>
        <v>1533.9849999999999</v>
      </c>
      <c r="F251" s="46">
        <f t="shared" si="49"/>
        <v>1533.9849999999999</v>
      </c>
      <c r="G251" s="46">
        <f t="shared" si="49"/>
        <v>0</v>
      </c>
      <c r="H251" s="46">
        <f t="shared" si="49"/>
        <v>0</v>
      </c>
      <c r="I251" s="46">
        <f t="shared" si="49"/>
        <v>0</v>
      </c>
      <c r="J251" s="46">
        <f t="shared" si="49"/>
        <v>0</v>
      </c>
      <c r="K251" s="61"/>
      <c r="L251" s="61"/>
      <c r="M251" s="61"/>
      <c r="N251" s="61"/>
      <c r="O251" s="61"/>
      <c r="P251" s="61"/>
      <c r="Q251" s="179" t="s">
        <v>196</v>
      </c>
      <c r="R251" s="28"/>
    </row>
    <row r="252" spans="1:18" x14ac:dyDescent="0.25">
      <c r="A252" s="167"/>
      <c r="B252" s="159"/>
      <c r="C252" s="159"/>
      <c r="D252" s="155" t="s">
        <v>10</v>
      </c>
      <c r="E252" s="156"/>
      <c r="F252" s="156"/>
      <c r="G252" s="156"/>
      <c r="H252" s="156"/>
      <c r="I252" s="156"/>
      <c r="J252" s="157"/>
      <c r="K252" s="61"/>
      <c r="L252" s="61"/>
      <c r="M252" s="61"/>
      <c r="N252" s="61"/>
      <c r="O252" s="61"/>
      <c r="P252" s="61"/>
      <c r="Q252" s="180"/>
      <c r="R252" s="28"/>
    </row>
    <row r="253" spans="1:18" x14ac:dyDescent="0.25">
      <c r="A253" s="167"/>
      <c r="B253" s="159"/>
      <c r="C253" s="159"/>
      <c r="D253" s="54" t="s">
        <v>11</v>
      </c>
      <c r="E253" s="46">
        <f>SUM(F253:J253)</f>
        <v>1533.9849999999999</v>
      </c>
      <c r="F253" s="46">
        <v>1533.9849999999999</v>
      </c>
      <c r="G253" s="46">
        <v>0</v>
      </c>
      <c r="H253" s="46"/>
      <c r="I253" s="46"/>
      <c r="J253" s="46"/>
      <c r="K253" s="61"/>
      <c r="L253" s="61"/>
      <c r="M253" s="61"/>
      <c r="N253" s="61"/>
      <c r="O253" s="61"/>
      <c r="P253" s="61"/>
      <c r="Q253" s="180"/>
      <c r="R253" s="28"/>
    </row>
    <row r="254" spans="1:18" x14ac:dyDescent="0.25">
      <c r="A254" s="167"/>
      <c r="B254" s="159"/>
      <c r="C254" s="159"/>
      <c r="D254" s="54" t="s">
        <v>12</v>
      </c>
      <c r="E254" s="46">
        <f>SUM(F254:J254)</f>
        <v>0</v>
      </c>
      <c r="F254" s="46"/>
      <c r="G254" s="46"/>
      <c r="H254" s="46"/>
      <c r="I254" s="46"/>
      <c r="J254" s="46"/>
      <c r="K254" s="61"/>
      <c r="L254" s="61"/>
      <c r="M254" s="61"/>
      <c r="N254" s="61"/>
      <c r="O254" s="61"/>
      <c r="P254" s="61"/>
      <c r="Q254" s="180"/>
      <c r="R254" s="28"/>
    </row>
    <row r="255" spans="1:18" x14ac:dyDescent="0.25">
      <c r="A255" s="167"/>
      <c r="B255" s="159"/>
      <c r="C255" s="159"/>
      <c r="D255" s="54" t="s">
        <v>13</v>
      </c>
      <c r="E255" s="46">
        <f>SUM(F255:J255)</f>
        <v>0</v>
      </c>
      <c r="F255" s="46"/>
      <c r="G255" s="46"/>
      <c r="H255" s="46"/>
      <c r="I255" s="46"/>
      <c r="J255" s="46"/>
      <c r="K255" s="61"/>
      <c r="L255" s="61"/>
      <c r="M255" s="61"/>
      <c r="N255" s="61"/>
      <c r="O255" s="61"/>
      <c r="P255" s="61"/>
      <c r="Q255" s="180"/>
      <c r="R255" s="28"/>
    </row>
    <row r="256" spans="1:18" x14ac:dyDescent="0.25">
      <c r="A256" s="168"/>
      <c r="B256" s="160"/>
      <c r="C256" s="160"/>
      <c r="D256" s="54" t="s">
        <v>14</v>
      </c>
      <c r="E256" s="46">
        <f>SUM(F256:J256)</f>
        <v>0</v>
      </c>
      <c r="F256" s="46"/>
      <c r="G256" s="46"/>
      <c r="H256" s="46"/>
      <c r="I256" s="46"/>
      <c r="J256" s="46"/>
      <c r="K256" s="61"/>
      <c r="L256" s="61"/>
      <c r="M256" s="61"/>
      <c r="N256" s="61"/>
      <c r="O256" s="61"/>
      <c r="P256" s="61"/>
      <c r="Q256" s="181"/>
      <c r="R256" s="28"/>
    </row>
    <row r="257" spans="1:18" ht="15" customHeight="1" x14ac:dyDescent="0.25">
      <c r="A257" s="166" t="s">
        <v>247</v>
      </c>
      <c r="B257" s="158" t="s">
        <v>246</v>
      </c>
      <c r="C257" s="158" t="s">
        <v>164</v>
      </c>
      <c r="D257" s="54" t="s">
        <v>9</v>
      </c>
      <c r="E257" s="46">
        <f t="shared" ref="E257:J257" si="50">SUM(E258:E262)</f>
        <v>13868.28736</v>
      </c>
      <c r="F257" s="46">
        <f t="shared" si="50"/>
        <v>7000</v>
      </c>
      <c r="G257" s="46">
        <f t="shared" si="50"/>
        <v>6868.2873600000003</v>
      </c>
      <c r="H257" s="46">
        <f t="shared" si="50"/>
        <v>0</v>
      </c>
      <c r="I257" s="46">
        <f t="shared" si="50"/>
        <v>0</v>
      </c>
      <c r="J257" s="46">
        <f t="shared" si="50"/>
        <v>0</v>
      </c>
      <c r="K257" s="61"/>
      <c r="L257" s="61"/>
      <c r="M257" s="61"/>
      <c r="N257" s="61"/>
      <c r="O257" s="61"/>
      <c r="P257" s="61"/>
      <c r="Q257" s="179" t="s">
        <v>245</v>
      </c>
      <c r="R257" s="28"/>
    </row>
    <row r="258" spans="1:18" x14ac:dyDescent="0.25">
      <c r="A258" s="167"/>
      <c r="B258" s="159"/>
      <c r="C258" s="159"/>
      <c r="D258" s="155" t="s">
        <v>10</v>
      </c>
      <c r="E258" s="156"/>
      <c r="F258" s="156"/>
      <c r="G258" s="156"/>
      <c r="H258" s="156"/>
      <c r="I258" s="156"/>
      <c r="J258" s="157"/>
      <c r="K258" s="61"/>
      <c r="L258" s="61"/>
      <c r="M258" s="61"/>
      <c r="N258" s="61"/>
      <c r="O258" s="61"/>
      <c r="P258" s="61"/>
      <c r="Q258" s="180"/>
      <c r="R258" s="28"/>
    </row>
    <row r="259" spans="1:18" x14ac:dyDescent="0.25">
      <c r="A259" s="167"/>
      <c r="B259" s="159"/>
      <c r="C259" s="159"/>
      <c r="D259" s="54" t="s">
        <v>11</v>
      </c>
      <c r="E259" s="46">
        <f>SUM(F259:J259)</f>
        <v>693.41436999999996</v>
      </c>
      <c r="F259" s="46">
        <v>350</v>
      </c>
      <c r="G259" s="46">
        <v>343.41437000000002</v>
      </c>
      <c r="H259" s="46">
        <v>0</v>
      </c>
      <c r="I259" s="46">
        <v>0</v>
      </c>
      <c r="J259" s="46">
        <v>0</v>
      </c>
      <c r="K259" s="61"/>
      <c r="L259" s="61"/>
      <c r="M259" s="61"/>
      <c r="N259" s="61"/>
      <c r="O259" s="61"/>
      <c r="P259" s="61"/>
      <c r="Q259" s="180"/>
      <c r="R259" s="28"/>
    </row>
    <row r="260" spans="1:18" x14ac:dyDescent="0.25">
      <c r="A260" s="167"/>
      <c r="B260" s="159"/>
      <c r="C260" s="159"/>
      <c r="D260" s="54" t="s">
        <v>12</v>
      </c>
      <c r="E260" s="46">
        <f>SUM(F260:J260)</f>
        <v>13174.87299</v>
      </c>
      <c r="F260" s="46">
        <v>6650</v>
      </c>
      <c r="G260" s="46">
        <v>6524.8729899999998</v>
      </c>
      <c r="H260" s="46">
        <v>0</v>
      </c>
      <c r="I260" s="46">
        <v>0</v>
      </c>
      <c r="J260" s="46">
        <v>0</v>
      </c>
      <c r="K260" s="61"/>
      <c r="L260" s="61"/>
      <c r="M260" s="61"/>
      <c r="N260" s="61"/>
      <c r="O260" s="61"/>
      <c r="P260" s="61"/>
      <c r="Q260" s="180"/>
      <c r="R260" s="28"/>
    </row>
    <row r="261" spans="1:18" x14ac:dyDescent="0.25">
      <c r="A261" s="167"/>
      <c r="B261" s="159"/>
      <c r="C261" s="159"/>
      <c r="D261" s="54" t="s">
        <v>13</v>
      </c>
      <c r="E261" s="46">
        <f>SUM(F261:J261)</f>
        <v>0</v>
      </c>
      <c r="F261" s="46">
        <v>0</v>
      </c>
      <c r="G261" s="46">
        <v>0</v>
      </c>
      <c r="H261" s="46">
        <v>0</v>
      </c>
      <c r="I261" s="46">
        <v>0</v>
      </c>
      <c r="J261" s="46">
        <v>0</v>
      </c>
      <c r="K261" s="61"/>
      <c r="L261" s="61"/>
      <c r="M261" s="61"/>
      <c r="N261" s="61"/>
      <c r="O261" s="61"/>
      <c r="P261" s="61"/>
      <c r="Q261" s="180"/>
      <c r="R261" s="28"/>
    </row>
    <row r="262" spans="1:18" x14ac:dyDescent="0.25">
      <c r="A262" s="168"/>
      <c r="B262" s="160"/>
      <c r="C262" s="160"/>
      <c r="D262" s="54" t="s">
        <v>14</v>
      </c>
      <c r="E262" s="46">
        <f>SUM(F262:J262)</f>
        <v>0</v>
      </c>
      <c r="F262" s="46">
        <v>0</v>
      </c>
      <c r="G262" s="46">
        <v>0</v>
      </c>
      <c r="H262" s="46">
        <v>0</v>
      </c>
      <c r="I262" s="46">
        <v>0</v>
      </c>
      <c r="J262" s="46">
        <v>0</v>
      </c>
      <c r="K262" s="61"/>
      <c r="L262" s="61"/>
      <c r="M262" s="61"/>
      <c r="N262" s="61"/>
      <c r="O262" s="61"/>
      <c r="P262" s="61"/>
      <c r="Q262" s="181"/>
      <c r="R262" s="28"/>
    </row>
    <row r="263" spans="1:18" ht="15" customHeight="1" x14ac:dyDescent="0.25">
      <c r="A263" s="166" t="s">
        <v>279</v>
      </c>
      <c r="B263" s="158" t="s">
        <v>330</v>
      </c>
      <c r="C263" s="158" t="s">
        <v>165</v>
      </c>
      <c r="D263" s="54" t="s">
        <v>9</v>
      </c>
      <c r="E263" s="46">
        <f t="shared" ref="E263:J263" si="51">SUM(E264:E268)</f>
        <v>1560</v>
      </c>
      <c r="F263" s="46">
        <f t="shared" si="51"/>
        <v>0</v>
      </c>
      <c r="G263" s="46">
        <f t="shared" si="51"/>
        <v>1560</v>
      </c>
      <c r="H263" s="46">
        <f t="shared" si="51"/>
        <v>0</v>
      </c>
      <c r="I263" s="46">
        <f t="shared" si="51"/>
        <v>0</v>
      </c>
      <c r="J263" s="46">
        <f t="shared" si="51"/>
        <v>0</v>
      </c>
      <c r="K263" s="61"/>
      <c r="L263" s="61"/>
      <c r="M263" s="61"/>
      <c r="N263" s="61"/>
      <c r="O263" s="61"/>
      <c r="P263" s="61"/>
      <c r="Q263" s="202" t="s">
        <v>171</v>
      </c>
      <c r="R263" s="28"/>
    </row>
    <row r="264" spans="1:18" x14ac:dyDescent="0.25">
      <c r="A264" s="167"/>
      <c r="B264" s="159"/>
      <c r="C264" s="159"/>
      <c r="D264" s="155" t="s">
        <v>10</v>
      </c>
      <c r="E264" s="156"/>
      <c r="F264" s="156"/>
      <c r="G264" s="156"/>
      <c r="H264" s="156"/>
      <c r="I264" s="156"/>
      <c r="J264" s="157"/>
      <c r="K264" s="61"/>
      <c r="L264" s="61"/>
      <c r="M264" s="61"/>
      <c r="N264" s="61"/>
      <c r="O264" s="61"/>
      <c r="P264" s="61"/>
      <c r="Q264" s="203"/>
      <c r="R264" s="28"/>
    </row>
    <row r="265" spans="1:18" x14ac:dyDescent="0.25">
      <c r="A265" s="167"/>
      <c r="B265" s="159"/>
      <c r="C265" s="159"/>
      <c r="D265" s="54" t="s">
        <v>11</v>
      </c>
      <c r="E265" s="46">
        <f>SUM(F265:J265)</f>
        <v>1560</v>
      </c>
      <c r="F265" s="46">
        <f>F271+F277+F283</f>
        <v>0</v>
      </c>
      <c r="G265" s="46">
        <f t="shared" ref="G265:J265" si="52">G271+G277+G283</f>
        <v>1560</v>
      </c>
      <c r="H265" s="46">
        <f t="shared" si="52"/>
        <v>0</v>
      </c>
      <c r="I265" s="46">
        <f t="shared" si="52"/>
        <v>0</v>
      </c>
      <c r="J265" s="46">
        <f t="shared" si="52"/>
        <v>0</v>
      </c>
      <c r="K265" s="61"/>
      <c r="L265" s="61"/>
      <c r="M265" s="61"/>
      <c r="N265" s="61"/>
      <c r="O265" s="61"/>
      <c r="P265" s="61"/>
      <c r="Q265" s="203"/>
      <c r="R265" s="28"/>
    </row>
    <row r="266" spans="1:18" x14ac:dyDescent="0.25">
      <c r="A266" s="167"/>
      <c r="B266" s="159"/>
      <c r="C266" s="159"/>
      <c r="D266" s="54" t="s">
        <v>12</v>
      </c>
      <c r="E266" s="46">
        <f>SUM(F266:J266)</f>
        <v>0</v>
      </c>
      <c r="F266" s="46">
        <f t="shared" ref="F266:J268" si="53">F272+F278+F284</f>
        <v>0</v>
      </c>
      <c r="G266" s="46">
        <f t="shared" si="53"/>
        <v>0</v>
      </c>
      <c r="H266" s="46">
        <f t="shared" si="53"/>
        <v>0</v>
      </c>
      <c r="I266" s="46">
        <f t="shared" si="53"/>
        <v>0</v>
      </c>
      <c r="J266" s="46">
        <f t="shared" si="53"/>
        <v>0</v>
      </c>
      <c r="K266" s="61"/>
      <c r="L266" s="61"/>
      <c r="M266" s="61"/>
      <c r="N266" s="61"/>
      <c r="O266" s="61"/>
      <c r="P266" s="61"/>
      <c r="Q266" s="203"/>
      <c r="R266" s="28"/>
    </row>
    <row r="267" spans="1:18" x14ac:dyDescent="0.25">
      <c r="A267" s="167"/>
      <c r="B267" s="159"/>
      <c r="C267" s="159"/>
      <c r="D267" s="54" t="s">
        <v>13</v>
      </c>
      <c r="E267" s="46">
        <f>SUM(F267:J267)</f>
        <v>0</v>
      </c>
      <c r="F267" s="46">
        <f t="shared" si="53"/>
        <v>0</v>
      </c>
      <c r="G267" s="46">
        <f t="shared" si="53"/>
        <v>0</v>
      </c>
      <c r="H267" s="46">
        <f t="shared" si="53"/>
        <v>0</v>
      </c>
      <c r="I267" s="46">
        <f t="shared" si="53"/>
        <v>0</v>
      </c>
      <c r="J267" s="46">
        <f t="shared" si="53"/>
        <v>0</v>
      </c>
      <c r="K267" s="61"/>
      <c r="L267" s="61"/>
      <c r="M267" s="61"/>
      <c r="N267" s="61"/>
      <c r="O267" s="61"/>
      <c r="P267" s="61"/>
      <c r="Q267" s="203"/>
      <c r="R267" s="28"/>
    </row>
    <row r="268" spans="1:18" x14ac:dyDescent="0.25">
      <c r="A268" s="168"/>
      <c r="B268" s="160"/>
      <c r="C268" s="160"/>
      <c r="D268" s="54" t="s">
        <v>14</v>
      </c>
      <c r="E268" s="46">
        <f>SUM(F268:J268)</f>
        <v>0</v>
      </c>
      <c r="F268" s="46">
        <f t="shared" si="53"/>
        <v>0</v>
      </c>
      <c r="G268" s="46">
        <f t="shared" si="53"/>
        <v>0</v>
      </c>
      <c r="H268" s="46">
        <f t="shared" si="53"/>
        <v>0</v>
      </c>
      <c r="I268" s="46">
        <f t="shared" si="53"/>
        <v>0</v>
      </c>
      <c r="J268" s="46">
        <f t="shared" si="53"/>
        <v>0</v>
      </c>
      <c r="K268" s="61"/>
      <c r="L268" s="61"/>
      <c r="M268" s="61"/>
      <c r="N268" s="61"/>
      <c r="O268" s="61"/>
      <c r="P268" s="61"/>
      <c r="Q268" s="204"/>
      <c r="R268" s="28"/>
    </row>
    <row r="269" spans="1:18" ht="14.45" customHeight="1" x14ac:dyDescent="0.25">
      <c r="A269" s="166"/>
      <c r="B269" s="158"/>
      <c r="C269" s="158" t="s">
        <v>165</v>
      </c>
      <c r="D269" s="54" t="s">
        <v>9</v>
      </c>
      <c r="E269" s="46">
        <f t="shared" ref="E269:J269" si="54">SUM(E270:E274)</f>
        <v>780</v>
      </c>
      <c r="F269" s="46">
        <f t="shared" si="54"/>
        <v>0</v>
      </c>
      <c r="G269" s="46">
        <f t="shared" si="54"/>
        <v>780</v>
      </c>
      <c r="H269" s="46">
        <f t="shared" si="54"/>
        <v>0</v>
      </c>
      <c r="I269" s="46">
        <f t="shared" si="54"/>
        <v>0</v>
      </c>
      <c r="J269" s="46">
        <f t="shared" si="54"/>
        <v>0</v>
      </c>
      <c r="K269" s="61"/>
      <c r="L269" s="61"/>
      <c r="M269" s="61"/>
      <c r="N269" s="61"/>
      <c r="O269" s="61"/>
      <c r="P269" s="61"/>
      <c r="Q269" s="179" t="s">
        <v>159</v>
      </c>
      <c r="R269" s="28"/>
    </row>
    <row r="270" spans="1:18" x14ac:dyDescent="0.25">
      <c r="A270" s="167"/>
      <c r="B270" s="159"/>
      <c r="C270" s="159"/>
      <c r="D270" s="155" t="s">
        <v>10</v>
      </c>
      <c r="E270" s="156"/>
      <c r="F270" s="156"/>
      <c r="G270" s="156"/>
      <c r="H270" s="156"/>
      <c r="I270" s="156"/>
      <c r="J270" s="157"/>
      <c r="K270" s="61"/>
      <c r="L270" s="61"/>
      <c r="M270" s="61"/>
      <c r="N270" s="61"/>
      <c r="O270" s="61"/>
      <c r="P270" s="61"/>
      <c r="Q270" s="180"/>
      <c r="R270" s="28"/>
    </row>
    <row r="271" spans="1:18" x14ac:dyDescent="0.25">
      <c r="A271" s="167"/>
      <c r="B271" s="159"/>
      <c r="C271" s="159"/>
      <c r="D271" s="54" t="s">
        <v>11</v>
      </c>
      <c r="E271" s="46">
        <f>SUM(F271:J271)</f>
        <v>780</v>
      </c>
      <c r="F271" s="46"/>
      <c r="G271" s="46">
        <v>780</v>
      </c>
      <c r="H271" s="46"/>
      <c r="I271" s="46"/>
      <c r="J271" s="46"/>
      <c r="K271" s="61"/>
      <c r="L271" s="61"/>
      <c r="M271" s="61"/>
      <c r="N271" s="61"/>
      <c r="O271" s="61"/>
      <c r="P271" s="61"/>
      <c r="Q271" s="180"/>
      <c r="R271" s="28"/>
    </row>
    <row r="272" spans="1:18" x14ac:dyDescent="0.25">
      <c r="A272" s="167"/>
      <c r="B272" s="159"/>
      <c r="C272" s="159"/>
      <c r="D272" s="54" t="s">
        <v>12</v>
      </c>
      <c r="E272" s="46">
        <f>SUM(F272:J272)</f>
        <v>0</v>
      </c>
      <c r="F272" s="46"/>
      <c r="G272" s="46"/>
      <c r="H272" s="46"/>
      <c r="I272" s="46"/>
      <c r="J272" s="46"/>
      <c r="K272" s="61"/>
      <c r="L272" s="61"/>
      <c r="M272" s="61"/>
      <c r="N272" s="61"/>
      <c r="O272" s="61"/>
      <c r="P272" s="61"/>
      <c r="Q272" s="180"/>
      <c r="R272" s="28"/>
    </row>
    <row r="273" spans="1:18" x14ac:dyDescent="0.25">
      <c r="A273" s="167"/>
      <c r="B273" s="159"/>
      <c r="C273" s="159"/>
      <c r="D273" s="54" t="s">
        <v>13</v>
      </c>
      <c r="E273" s="46">
        <f>SUM(F273:J273)</f>
        <v>0</v>
      </c>
      <c r="F273" s="46"/>
      <c r="G273" s="46"/>
      <c r="H273" s="46"/>
      <c r="I273" s="46"/>
      <c r="J273" s="46"/>
      <c r="K273" s="61"/>
      <c r="L273" s="61"/>
      <c r="M273" s="61"/>
      <c r="N273" s="61"/>
      <c r="O273" s="61"/>
      <c r="P273" s="61"/>
      <c r="Q273" s="180"/>
      <c r="R273" s="28"/>
    </row>
    <row r="274" spans="1:18" x14ac:dyDescent="0.25">
      <c r="A274" s="168"/>
      <c r="B274" s="160"/>
      <c r="C274" s="160"/>
      <c r="D274" s="54" t="s">
        <v>14</v>
      </c>
      <c r="E274" s="46">
        <f>SUM(F274:J274)</f>
        <v>0</v>
      </c>
      <c r="F274" s="46"/>
      <c r="G274" s="46"/>
      <c r="H274" s="46"/>
      <c r="I274" s="46"/>
      <c r="J274" s="46"/>
      <c r="K274" s="61"/>
      <c r="L274" s="61"/>
      <c r="M274" s="61"/>
      <c r="N274" s="61"/>
      <c r="O274" s="61"/>
      <c r="P274" s="61"/>
      <c r="Q274" s="181"/>
      <c r="R274" s="28"/>
    </row>
    <row r="275" spans="1:18" ht="14.45" customHeight="1" x14ac:dyDescent="0.25">
      <c r="A275" s="166"/>
      <c r="B275" s="158"/>
      <c r="C275" s="158" t="s">
        <v>165</v>
      </c>
      <c r="D275" s="54" t="s">
        <v>9</v>
      </c>
      <c r="E275" s="46">
        <f t="shared" ref="E275:J275" si="55">SUM(E276:E280)</f>
        <v>780</v>
      </c>
      <c r="F275" s="46">
        <f t="shared" si="55"/>
        <v>0</v>
      </c>
      <c r="G275" s="46">
        <f t="shared" si="55"/>
        <v>780</v>
      </c>
      <c r="H275" s="46">
        <f t="shared" si="55"/>
        <v>0</v>
      </c>
      <c r="I275" s="46">
        <f t="shared" si="55"/>
        <v>0</v>
      </c>
      <c r="J275" s="46">
        <f t="shared" si="55"/>
        <v>0</v>
      </c>
      <c r="K275" s="61"/>
      <c r="L275" s="61"/>
      <c r="M275" s="61"/>
      <c r="N275" s="61"/>
      <c r="O275" s="61"/>
      <c r="P275" s="61"/>
      <c r="Q275" s="186" t="s">
        <v>172</v>
      </c>
      <c r="R275" s="28"/>
    </row>
    <row r="276" spans="1:18" x14ac:dyDescent="0.25">
      <c r="A276" s="167"/>
      <c r="B276" s="159"/>
      <c r="C276" s="159"/>
      <c r="D276" s="155" t="s">
        <v>10</v>
      </c>
      <c r="E276" s="156"/>
      <c r="F276" s="156"/>
      <c r="G276" s="156"/>
      <c r="H276" s="156"/>
      <c r="I276" s="156"/>
      <c r="J276" s="157"/>
      <c r="K276" s="61"/>
      <c r="L276" s="61"/>
      <c r="M276" s="61"/>
      <c r="N276" s="61"/>
      <c r="O276" s="61"/>
      <c r="P276" s="61"/>
      <c r="Q276" s="187"/>
      <c r="R276" s="28"/>
    </row>
    <row r="277" spans="1:18" x14ac:dyDescent="0.25">
      <c r="A277" s="167"/>
      <c r="B277" s="159"/>
      <c r="C277" s="159"/>
      <c r="D277" s="54" t="s">
        <v>11</v>
      </c>
      <c r="E277" s="46">
        <f>SUM(F277:J277)</f>
        <v>780</v>
      </c>
      <c r="F277" s="46"/>
      <c r="G277" s="46">
        <v>780</v>
      </c>
      <c r="H277" s="46"/>
      <c r="I277" s="46"/>
      <c r="J277" s="46"/>
      <c r="K277" s="61"/>
      <c r="L277" s="61"/>
      <c r="M277" s="61"/>
      <c r="N277" s="61"/>
      <c r="O277" s="61"/>
      <c r="P277" s="61"/>
      <c r="Q277" s="187"/>
      <c r="R277" s="28"/>
    </row>
    <row r="278" spans="1:18" x14ac:dyDescent="0.25">
      <c r="A278" s="167"/>
      <c r="B278" s="159"/>
      <c r="C278" s="159"/>
      <c r="D278" s="54" t="s">
        <v>12</v>
      </c>
      <c r="E278" s="46">
        <f>SUM(F278:J278)</f>
        <v>0</v>
      </c>
      <c r="F278" s="46"/>
      <c r="G278" s="46"/>
      <c r="H278" s="46"/>
      <c r="I278" s="46"/>
      <c r="J278" s="46"/>
      <c r="K278" s="61"/>
      <c r="L278" s="61"/>
      <c r="M278" s="61"/>
      <c r="N278" s="61"/>
      <c r="O278" s="61"/>
      <c r="P278" s="61"/>
      <c r="Q278" s="187"/>
      <c r="R278" s="28"/>
    </row>
    <row r="279" spans="1:18" x14ac:dyDescent="0.25">
      <c r="A279" s="167"/>
      <c r="B279" s="159"/>
      <c r="C279" s="159"/>
      <c r="D279" s="54" t="s">
        <v>13</v>
      </c>
      <c r="E279" s="46">
        <f>SUM(F279:J279)</f>
        <v>0</v>
      </c>
      <c r="F279" s="46"/>
      <c r="G279" s="46"/>
      <c r="H279" s="46"/>
      <c r="I279" s="46"/>
      <c r="J279" s="46"/>
      <c r="K279" s="61"/>
      <c r="L279" s="61"/>
      <c r="M279" s="61"/>
      <c r="N279" s="61"/>
      <c r="O279" s="61"/>
      <c r="P279" s="61"/>
      <c r="Q279" s="187"/>
      <c r="R279" s="28"/>
    </row>
    <row r="280" spans="1:18" x14ac:dyDescent="0.25">
      <c r="A280" s="168"/>
      <c r="B280" s="160"/>
      <c r="C280" s="160"/>
      <c r="D280" s="54" t="s">
        <v>14</v>
      </c>
      <c r="E280" s="46">
        <f>SUM(F280:J280)</f>
        <v>0</v>
      </c>
      <c r="F280" s="46"/>
      <c r="G280" s="46"/>
      <c r="H280" s="46"/>
      <c r="I280" s="46"/>
      <c r="J280" s="46"/>
      <c r="K280" s="61"/>
      <c r="L280" s="61"/>
      <c r="M280" s="61"/>
      <c r="N280" s="61"/>
      <c r="O280" s="61"/>
      <c r="P280" s="61"/>
      <c r="Q280" s="188"/>
      <c r="R280" s="28"/>
    </row>
    <row r="281" spans="1:18" ht="15" customHeight="1" x14ac:dyDescent="0.25">
      <c r="A281" s="166"/>
      <c r="B281" s="158"/>
      <c r="C281" s="158" t="s">
        <v>167</v>
      </c>
      <c r="D281" s="54" t="s">
        <v>9</v>
      </c>
      <c r="E281" s="46">
        <f t="shared" ref="E281:J281" si="56">SUM(E282:E286)</f>
        <v>0</v>
      </c>
      <c r="F281" s="46">
        <f t="shared" si="56"/>
        <v>0</v>
      </c>
      <c r="G281" s="46">
        <f t="shared" si="56"/>
        <v>0</v>
      </c>
      <c r="H281" s="46">
        <f t="shared" si="56"/>
        <v>0</v>
      </c>
      <c r="I281" s="46">
        <f t="shared" si="56"/>
        <v>0</v>
      </c>
      <c r="J281" s="46">
        <f t="shared" si="56"/>
        <v>0</v>
      </c>
      <c r="K281" s="61"/>
      <c r="L281" s="61"/>
      <c r="M281" s="61"/>
      <c r="N281" s="61"/>
      <c r="O281" s="61"/>
      <c r="P281" s="61"/>
      <c r="Q281" s="179" t="s">
        <v>280</v>
      </c>
      <c r="R281" s="28"/>
    </row>
    <row r="282" spans="1:18" x14ac:dyDescent="0.25">
      <c r="A282" s="167"/>
      <c r="B282" s="159"/>
      <c r="C282" s="159"/>
      <c r="D282" s="155" t="s">
        <v>10</v>
      </c>
      <c r="E282" s="156"/>
      <c r="F282" s="156"/>
      <c r="G282" s="156"/>
      <c r="H282" s="156"/>
      <c r="I282" s="156"/>
      <c r="J282" s="157"/>
      <c r="K282" s="61"/>
      <c r="L282" s="61"/>
      <c r="M282" s="61"/>
      <c r="N282" s="61"/>
      <c r="O282" s="61"/>
      <c r="P282" s="61"/>
      <c r="Q282" s="180"/>
      <c r="R282" s="28"/>
    </row>
    <row r="283" spans="1:18" x14ac:dyDescent="0.25">
      <c r="A283" s="167"/>
      <c r="B283" s="159"/>
      <c r="C283" s="159"/>
      <c r="D283" s="54" t="s">
        <v>11</v>
      </c>
      <c r="E283" s="46">
        <f>SUM(F283:J283)</f>
        <v>0</v>
      </c>
      <c r="F283" s="46"/>
      <c r="G283" s="46"/>
      <c r="H283" s="46"/>
      <c r="I283" s="46"/>
      <c r="J283" s="46"/>
      <c r="K283" s="61"/>
      <c r="L283" s="61"/>
      <c r="M283" s="61"/>
      <c r="N283" s="61"/>
      <c r="O283" s="61"/>
      <c r="P283" s="61"/>
      <c r="Q283" s="180"/>
      <c r="R283" s="28"/>
    </row>
    <row r="284" spans="1:18" x14ac:dyDescent="0.25">
      <c r="A284" s="167"/>
      <c r="B284" s="159"/>
      <c r="C284" s="159"/>
      <c r="D284" s="54" t="s">
        <v>12</v>
      </c>
      <c r="E284" s="46">
        <f>SUM(F284:J284)</f>
        <v>0</v>
      </c>
      <c r="F284" s="46"/>
      <c r="G284" s="46"/>
      <c r="H284" s="46"/>
      <c r="I284" s="46"/>
      <c r="J284" s="46"/>
      <c r="K284" s="61"/>
      <c r="L284" s="61"/>
      <c r="M284" s="61"/>
      <c r="N284" s="61"/>
      <c r="O284" s="61"/>
      <c r="P284" s="61"/>
      <c r="Q284" s="180"/>
      <c r="R284" s="28"/>
    </row>
    <row r="285" spans="1:18" x14ac:dyDescent="0.25">
      <c r="A285" s="167"/>
      <c r="B285" s="159"/>
      <c r="C285" s="159"/>
      <c r="D285" s="54" t="s">
        <v>13</v>
      </c>
      <c r="E285" s="46">
        <f>SUM(F285:J285)</f>
        <v>0</v>
      </c>
      <c r="F285" s="46"/>
      <c r="G285" s="46"/>
      <c r="H285" s="46"/>
      <c r="I285" s="46"/>
      <c r="J285" s="46"/>
      <c r="K285" s="61"/>
      <c r="L285" s="61"/>
      <c r="M285" s="61"/>
      <c r="N285" s="61"/>
      <c r="O285" s="61"/>
      <c r="P285" s="61"/>
      <c r="Q285" s="180"/>
      <c r="R285" s="28"/>
    </row>
    <row r="286" spans="1:18" x14ac:dyDescent="0.25">
      <c r="A286" s="168"/>
      <c r="B286" s="160"/>
      <c r="C286" s="160"/>
      <c r="D286" s="54" t="s">
        <v>14</v>
      </c>
      <c r="E286" s="46">
        <f>SUM(F286:J286)</f>
        <v>0</v>
      </c>
      <c r="F286" s="46"/>
      <c r="G286" s="46"/>
      <c r="H286" s="46"/>
      <c r="I286" s="46"/>
      <c r="J286" s="46"/>
      <c r="K286" s="61"/>
      <c r="L286" s="61"/>
      <c r="M286" s="61"/>
      <c r="N286" s="61"/>
      <c r="O286" s="61"/>
      <c r="P286" s="61"/>
      <c r="Q286" s="181"/>
      <c r="R286" s="28"/>
    </row>
    <row r="287" spans="1:18" ht="15" customHeight="1" x14ac:dyDescent="0.25">
      <c r="A287" s="166" t="s">
        <v>283</v>
      </c>
      <c r="B287" s="158" t="s">
        <v>282</v>
      </c>
      <c r="C287" s="158" t="s">
        <v>165</v>
      </c>
      <c r="D287" s="54" t="s">
        <v>9</v>
      </c>
      <c r="E287" s="46">
        <f t="shared" ref="E287:J287" si="57">SUM(E288:E292)</f>
        <v>2250</v>
      </c>
      <c r="F287" s="46">
        <f t="shared" si="57"/>
        <v>0</v>
      </c>
      <c r="G287" s="46">
        <f t="shared" si="57"/>
        <v>2250</v>
      </c>
      <c r="H287" s="46">
        <f t="shared" si="57"/>
        <v>0</v>
      </c>
      <c r="I287" s="46">
        <f t="shared" si="57"/>
        <v>0</v>
      </c>
      <c r="J287" s="46">
        <f t="shared" si="57"/>
        <v>0</v>
      </c>
      <c r="K287" s="61"/>
      <c r="L287" s="61"/>
      <c r="M287" s="61"/>
      <c r="N287" s="61"/>
      <c r="O287" s="61"/>
      <c r="P287" s="61"/>
      <c r="Q287" s="179" t="s">
        <v>281</v>
      </c>
      <c r="R287" s="28"/>
    </row>
    <row r="288" spans="1:18" x14ac:dyDescent="0.25">
      <c r="A288" s="167"/>
      <c r="B288" s="159"/>
      <c r="C288" s="159"/>
      <c r="D288" s="155" t="s">
        <v>10</v>
      </c>
      <c r="E288" s="156"/>
      <c r="F288" s="156"/>
      <c r="G288" s="156"/>
      <c r="H288" s="156"/>
      <c r="I288" s="156"/>
      <c r="J288" s="157"/>
      <c r="K288" s="61"/>
      <c r="L288" s="61"/>
      <c r="M288" s="61"/>
      <c r="N288" s="61"/>
      <c r="O288" s="61"/>
      <c r="P288" s="61"/>
      <c r="Q288" s="180"/>
      <c r="R288" s="28"/>
    </row>
    <row r="289" spans="1:18" x14ac:dyDescent="0.25">
      <c r="A289" s="167"/>
      <c r="B289" s="159"/>
      <c r="C289" s="159"/>
      <c r="D289" s="54" t="s">
        <v>11</v>
      </c>
      <c r="E289" s="46">
        <f>SUM(F289:J289)</f>
        <v>2250</v>
      </c>
      <c r="F289" s="46">
        <v>0</v>
      </c>
      <c r="G289" s="46">
        <f>2200+50</f>
        <v>2250</v>
      </c>
      <c r="H289" s="46">
        <v>0</v>
      </c>
      <c r="I289" s="46">
        <v>0</v>
      </c>
      <c r="J289" s="46">
        <v>0</v>
      </c>
      <c r="K289" s="61"/>
      <c r="L289" s="61"/>
      <c r="M289" s="61"/>
      <c r="N289" s="61"/>
      <c r="O289" s="61"/>
      <c r="P289" s="61"/>
      <c r="Q289" s="180"/>
      <c r="R289" s="28"/>
    </row>
    <row r="290" spans="1:18" x14ac:dyDescent="0.25">
      <c r="A290" s="167"/>
      <c r="B290" s="159"/>
      <c r="C290" s="159"/>
      <c r="D290" s="54" t="s">
        <v>12</v>
      </c>
      <c r="E290" s="46">
        <f>SUM(F290:J290)</f>
        <v>0</v>
      </c>
      <c r="F290" s="46">
        <v>0</v>
      </c>
      <c r="G290" s="46">
        <v>0</v>
      </c>
      <c r="H290" s="46">
        <v>0</v>
      </c>
      <c r="I290" s="46">
        <v>0</v>
      </c>
      <c r="J290" s="46">
        <v>0</v>
      </c>
      <c r="K290" s="61"/>
      <c r="L290" s="61"/>
      <c r="M290" s="61"/>
      <c r="N290" s="61"/>
      <c r="O290" s="61"/>
      <c r="P290" s="61"/>
      <c r="Q290" s="180"/>
      <c r="R290" s="28"/>
    </row>
    <row r="291" spans="1:18" x14ac:dyDescent="0.25">
      <c r="A291" s="167"/>
      <c r="B291" s="159"/>
      <c r="C291" s="159"/>
      <c r="D291" s="54" t="s">
        <v>13</v>
      </c>
      <c r="E291" s="46">
        <f>SUM(F291:J291)</f>
        <v>0</v>
      </c>
      <c r="F291" s="46">
        <v>0</v>
      </c>
      <c r="G291" s="46">
        <v>0</v>
      </c>
      <c r="H291" s="46">
        <v>0</v>
      </c>
      <c r="I291" s="46">
        <v>0</v>
      </c>
      <c r="J291" s="46">
        <v>0</v>
      </c>
      <c r="K291" s="61"/>
      <c r="L291" s="61"/>
      <c r="M291" s="61"/>
      <c r="N291" s="61"/>
      <c r="O291" s="61"/>
      <c r="P291" s="61"/>
      <c r="Q291" s="180"/>
      <c r="R291" s="28"/>
    </row>
    <row r="292" spans="1:18" x14ac:dyDescent="0.25">
      <c r="A292" s="168"/>
      <c r="B292" s="160"/>
      <c r="C292" s="160"/>
      <c r="D292" s="54" t="s">
        <v>14</v>
      </c>
      <c r="E292" s="46">
        <f>SUM(F292:J292)</f>
        <v>0</v>
      </c>
      <c r="F292" s="46">
        <v>0</v>
      </c>
      <c r="G292" s="46">
        <v>0</v>
      </c>
      <c r="H292" s="46">
        <v>0</v>
      </c>
      <c r="I292" s="46">
        <v>0</v>
      </c>
      <c r="J292" s="46">
        <v>0</v>
      </c>
      <c r="K292" s="61"/>
      <c r="L292" s="61"/>
      <c r="M292" s="61"/>
      <c r="N292" s="61"/>
      <c r="O292" s="61"/>
      <c r="P292" s="61"/>
      <c r="Q292" s="181"/>
      <c r="R292" s="28"/>
    </row>
    <row r="293" spans="1:18" ht="15" customHeight="1" x14ac:dyDescent="0.25">
      <c r="A293" s="166" t="s">
        <v>299</v>
      </c>
      <c r="B293" s="158" t="s">
        <v>304</v>
      </c>
      <c r="C293" s="158" t="s">
        <v>165</v>
      </c>
      <c r="D293" s="54" t="s">
        <v>9</v>
      </c>
      <c r="E293" s="46">
        <f t="shared" ref="E293:J293" si="58">SUM(E294:E298)</f>
        <v>580.04408000000001</v>
      </c>
      <c r="F293" s="46">
        <f t="shared" si="58"/>
        <v>0</v>
      </c>
      <c r="G293" s="46">
        <f t="shared" si="58"/>
        <v>580.04408000000001</v>
      </c>
      <c r="H293" s="46">
        <f t="shared" si="58"/>
        <v>0</v>
      </c>
      <c r="I293" s="46">
        <f t="shared" si="58"/>
        <v>0</v>
      </c>
      <c r="J293" s="46">
        <f t="shared" si="58"/>
        <v>0</v>
      </c>
      <c r="K293" s="61"/>
      <c r="L293" s="61"/>
      <c r="M293" s="61"/>
      <c r="N293" s="61"/>
      <c r="O293" s="61"/>
      <c r="P293" s="61"/>
      <c r="Q293" s="179" t="s">
        <v>300</v>
      </c>
      <c r="R293" s="28"/>
    </row>
    <row r="294" spans="1:18" x14ac:dyDescent="0.25">
      <c r="A294" s="167"/>
      <c r="B294" s="159"/>
      <c r="C294" s="159"/>
      <c r="D294" s="155" t="s">
        <v>10</v>
      </c>
      <c r="E294" s="156"/>
      <c r="F294" s="156"/>
      <c r="G294" s="156"/>
      <c r="H294" s="156"/>
      <c r="I294" s="156"/>
      <c r="J294" s="157"/>
      <c r="K294" s="61"/>
      <c r="L294" s="61"/>
      <c r="M294" s="61"/>
      <c r="N294" s="61"/>
      <c r="O294" s="61"/>
      <c r="P294" s="61"/>
      <c r="Q294" s="180"/>
      <c r="R294" s="28"/>
    </row>
    <row r="295" spans="1:18" x14ac:dyDescent="0.25">
      <c r="A295" s="167"/>
      <c r="B295" s="159"/>
      <c r="C295" s="159"/>
      <c r="D295" s="54" t="s">
        <v>11</v>
      </c>
      <c r="E295" s="46">
        <f>SUM(F295:J295)</f>
        <v>580.04408000000001</v>
      </c>
      <c r="F295" s="46">
        <v>0</v>
      </c>
      <c r="G295" s="46">
        <f>580.04408</f>
        <v>580.04408000000001</v>
      </c>
      <c r="H295" s="46">
        <v>0</v>
      </c>
      <c r="I295" s="46">
        <v>0</v>
      </c>
      <c r="J295" s="46">
        <v>0</v>
      </c>
      <c r="K295" s="61"/>
      <c r="L295" s="61"/>
      <c r="M295" s="61"/>
      <c r="N295" s="61"/>
      <c r="O295" s="61"/>
      <c r="P295" s="61"/>
      <c r="Q295" s="180"/>
      <c r="R295" s="28"/>
    </row>
    <row r="296" spans="1:18" x14ac:dyDescent="0.25">
      <c r="A296" s="167"/>
      <c r="B296" s="159"/>
      <c r="C296" s="159"/>
      <c r="D296" s="54" t="s">
        <v>12</v>
      </c>
      <c r="E296" s="46">
        <f>SUM(F296:J296)</f>
        <v>0</v>
      </c>
      <c r="F296" s="46">
        <v>0</v>
      </c>
      <c r="G296" s="46">
        <v>0</v>
      </c>
      <c r="H296" s="46">
        <v>0</v>
      </c>
      <c r="I296" s="46">
        <v>0</v>
      </c>
      <c r="J296" s="46">
        <v>0</v>
      </c>
      <c r="K296" s="61"/>
      <c r="L296" s="61"/>
      <c r="M296" s="61"/>
      <c r="N296" s="61"/>
      <c r="O296" s="61"/>
      <c r="P296" s="61"/>
      <c r="Q296" s="180"/>
      <c r="R296" s="28"/>
    </row>
    <row r="297" spans="1:18" x14ac:dyDescent="0.25">
      <c r="A297" s="167"/>
      <c r="B297" s="159"/>
      <c r="C297" s="159"/>
      <c r="D297" s="54" t="s">
        <v>13</v>
      </c>
      <c r="E297" s="46">
        <f>SUM(F297:J297)</f>
        <v>0</v>
      </c>
      <c r="F297" s="46">
        <v>0</v>
      </c>
      <c r="G297" s="46">
        <v>0</v>
      </c>
      <c r="H297" s="46">
        <v>0</v>
      </c>
      <c r="I297" s="46">
        <v>0</v>
      </c>
      <c r="J297" s="46">
        <v>0</v>
      </c>
      <c r="K297" s="61"/>
      <c r="L297" s="61"/>
      <c r="M297" s="61"/>
      <c r="N297" s="61"/>
      <c r="O297" s="61"/>
      <c r="P297" s="61"/>
      <c r="Q297" s="180"/>
      <c r="R297" s="28"/>
    </row>
    <row r="298" spans="1:18" x14ac:dyDescent="0.25">
      <c r="A298" s="168"/>
      <c r="B298" s="160"/>
      <c r="C298" s="160"/>
      <c r="D298" s="54" t="s">
        <v>14</v>
      </c>
      <c r="E298" s="46">
        <f>SUM(F298:J298)</f>
        <v>0</v>
      </c>
      <c r="F298" s="46">
        <v>0</v>
      </c>
      <c r="G298" s="46">
        <v>0</v>
      </c>
      <c r="H298" s="46">
        <v>0</v>
      </c>
      <c r="I298" s="46">
        <v>0</v>
      </c>
      <c r="J298" s="46">
        <v>0</v>
      </c>
      <c r="K298" s="61"/>
      <c r="L298" s="61"/>
      <c r="M298" s="61"/>
      <c r="N298" s="61"/>
      <c r="O298" s="61"/>
      <c r="P298" s="61"/>
      <c r="Q298" s="181"/>
      <c r="R298" s="28"/>
    </row>
    <row r="299" spans="1:18" ht="15" customHeight="1" x14ac:dyDescent="0.25">
      <c r="A299" s="166" t="s">
        <v>301</v>
      </c>
      <c r="B299" s="158" t="s">
        <v>303</v>
      </c>
      <c r="C299" s="158" t="s">
        <v>165</v>
      </c>
      <c r="D299" s="54" t="s">
        <v>9</v>
      </c>
      <c r="E299" s="46">
        <f t="shared" ref="E299:J299" si="59">SUM(E300:E304)</f>
        <v>355.63</v>
      </c>
      <c r="F299" s="46">
        <f t="shared" si="59"/>
        <v>0</v>
      </c>
      <c r="G299" s="46">
        <f t="shared" si="59"/>
        <v>355.63</v>
      </c>
      <c r="H299" s="46">
        <f t="shared" si="59"/>
        <v>0</v>
      </c>
      <c r="I299" s="46">
        <f t="shared" si="59"/>
        <v>0</v>
      </c>
      <c r="J299" s="46">
        <f t="shared" si="59"/>
        <v>0</v>
      </c>
      <c r="K299" s="61"/>
      <c r="L299" s="61"/>
      <c r="M299" s="61"/>
      <c r="N299" s="61"/>
      <c r="O299" s="61"/>
      <c r="P299" s="61"/>
      <c r="Q299" s="179" t="s">
        <v>302</v>
      </c>
      <c r="R299" s="28"/>
    </row>
    <row r="300" spans="1:18" x14ac:dyDescent="0.25">
      <c r="A300" s="167"/>
      <c r="B300" s="159"/>
      <c r="C300" s="159"/>
      <c r="D300" s="155" t="s">
        <v>10</v>
      </c>
      <c r="E300" s="156"/>
      <c r="F300" s="156"/>
      <c r="G300" s="156"/>
      <c r="H300" s="156"/>
      <c r="I300" s="156"/>
      <c r="J300" s="157"/>
      <c r="K300" s="61"/>
      <c r="L300" s="61"/>
      <c r="M300" s="61"/>
      <c r="N300" s="61"/>
      <c r="O300" s="61"/>
      <c r="P300" s="61"/>
      <c r="Q300" s="180"/>
      <c r="R300" s="28"/>
    </row>
    <row r="301" spans="1:18" x14ac:dyDescent="0.25">
      <c r="A301" s="167"/>
      <c r="B301" s="159"/>
      <c r="C301" s="159"/>
      <c r="D301" s="54" t="s">
        <v>11</v>
      </c>
      <c r="E301" s="46">
        <f>SUM(F301:J301)</f>
        <v>355.63</v>
      </c>
      <c r="F301" s="46">
        <v>0</v>
      </c>
      <c r="G301" s="46">
        <v>355.63</v>
      </c>
      <c r="H301" s="46">
        <v>0</v>
      </c>
      <c r="I301" s="46">
        <v>0</v>
      </c>
      <c r="J301" s="46">
        <v>0</v>
      </c>
      <c r="K301" s="61"/>
      <c r="L301" s="61"/>
      <c r="M301" s="61"/>
      <c r="N301" s="61"/>
      <c r="O301" s="61"/>
      <c r="P301" s="61"/>
      <c r="Q301" s="180"/>
      <c r="R301" s="28"/>
    </row>
    <row r="302" spans="1:18" x14ac:dyDescent="0.25">
      <c r="A302" s="167"/>
      <c r="B302" s="159"/>
      <c r="C302" s="159"/>
      <c r="D302" s="54" t="s">
        <v>12</v>
      </c>
      <c r="E302" s="46">
        <f>SUM(F302:J302)</f>
        <v>0</v>
      </c>
      <c r="F302" s="46">
        <v>0</v>
      </c>
      <c r="G302" s="46">
        <v>0</v>
      </c>
      <c r="H302" s="46">
        <v>0</v>
      </c>
      <c r="I302" s="46">
        <v>0</v>
      </c>
      <c r="J302" s="46">
        <v>0</v>
      </c>
      <c r="K302" s="61"/>
      <c r="L302" s="61"/>
      <c r="M302" s="61"/>
      <c r="N302" s="61"/>
      <c r="O302" s="61"/>
      <c r="P302" s="61"/>
      <c r="Q302" s="180"/>
      <c r="R302" s="28"/>
    </row>
    <row r="303" spans="1:18" x14ac:dyDescent="0.25">
      <c r="A303" s="167"/>
      <c r="B303" s="159"/>
      <c r="C303" s="159"/>
      <c r="D303" s="54" t="s">
        <v>13</v>
      </c>
      <c r="E303" s="46">
        <f>SUM(F303:J303)</f>
        <v>0</v>
      </c>
      <c r="F303" s="46">
        <v>0</v>
      </c>
      <c r="G303" s="46">
        <v>0</v>
      </c>
      <c r="H303" s="46">
        <v>0</v>
      </c>
      <c r="I303" s="46">
        <v>0</v>
      </c>
      <c r="J303" s="46">
        <v>0</v>
      </c>
      <c r="K303" s="61"/>
      <c r="L303" s="61"/>
      <c r="M303" s="61"/>
      <c r="N303" s="61"/>
      <c r="O303" s="61"/>
      <c r="P303" s="61"/>
      <c r="Q303" s="180"/>
      <c r="R303" s="28"/>
    </row>
    <row r="304" spans="1:18" x14ac:dyDescent="0.25">
      <c r="A304" s="168"/>
      <c r="B304" s="160"/>
      <c r="C304" s="160"/>
      <c r="D304" s="54" t="s">
        <v>14</v>
      </c>
      <c r="E304" s="46">
        <f>SUM(F304:J304)</f>
        <v>0</v>
      </c>
      <c r="F304" s="46">
        <v>0</v>
      </c>
      <c r="G304" s="46">
        <v>0</v>
      </c>
      <c r="H304" s="46">
        <v>0</v>
      </c>
      <c r="I304" s="46">
        <v>0</v>
      </c>
      <c r="J304" s="46">
        <v>0</v>
      </c>
      <c r="K304" s="61"/>
      <c r="L304" s="61"/>
      <c r="M304" s="61"/>
      <c r="N304" s="61"/>
      <c r="O304" s="61"/>
      <c r="P304" s="61"/>
      <c r="Q304" s="181"/>
      <c r="R304" s="28"/>
    </row>
    <row r="305" spans="1:18" x14ac:dyDescent="0.25">
      <c r="A305" s="239"/>
      <c r="B305" s="213" t="s">
        <v>23</v>
      </c>
      <c r="C305" s="239"/>
      <c r="D305" s="54" t="s">
        <v>9</v>
      </c>
      <c r="E305" s="46">
        <f t="shared" ref="E305:J305" si="60">SUM(E306:E310)</f>
        <v>33815.563439999998</v>
      </c>
      <c r="F305" s="46">
        <f t="shared" si="60"/>
        <v>13851.601999999999</v>
      </c>
      <c r="G305" s="46">
        <f t="shared" si="60"/>
        <v>11613.961439999999</v>
      </c>
      <c r="H305" s="46">
        <f t="shared" si="60"/>
        <v>0</v>
      </c>
      <c r="I305" s="46">
        <f t="shared" si="60"/>
        <v>0</v>
      </c>
      <c r="J305" s="46">
        <f t="shared" si="60"/>
        <v>8350</v>
      </c>
      <c r="K305" s="207"/>
      <c r="L305" s="207"/>
      <c r="M305" s="207"/>
      <c r="N305" s="207"/>
      <c r="O305" s="207"/>
      <c r="P305" s="207"/>
      <c r="Q305" s="161"/>
      <c r="R305" s="28"/>
    </row>
    <row r="306" spans="1:18" x14ac:dyDescent="0.25">
      <c r="A306" s="239"/>
      <c r="B306" s="213"/>
      <c r="C306" s="239"/>
      <c r="D306" s="155" t="s">
        <v>10</v>
      </c>
      <c r="E306" s="156"/>
      <c r="F306" s="156"/>
      <c r="G306" s="156"/>
      <c r="H306" s="156"/>
      <c r="I306" s="156"/>
      <c r="J306" s="157"/>
      <c r="K306" s="208"/>
      <c r="L306" s="208"/>
      <c r="M306" s="208"/>
      <c r="N306" s="208"/>
      <c r="O306" s="208"/>
      <c r="P306" s="208"/>
      <c r="Q306" s="162"/>
      <c r="R306" s="28"/>
    </row>
    <row r="307" spans="1:18" x14ac:dyDescent="0.25">
      <c r="A307" s="239"/>
      <c r="B307" s="213"/>
      <c r="C307" s="239"/>
      <c r="D307" s="54" t="s">
        <v>11</v>
      </c>
      <c r="E307" s="46">
        <f>SUM(F307:J307)</f>
        <v>17683.190450000002</v>
      </c>
      <c r="F307" s="46">
        <f>F187+F193+F199+F217+F223+F229+F259+F265+F289+F295+F301</f>
        <v>4244.1019999999999</v>
      </c>
      <c r="G307" s="46">
        <f t="shared" ref="G307:J307" si="61">G187+G193+G199+G217+G223+G229+G259+G265+G289+G295+G301</f>
        <v>5089.0884500000002</v>
      </c>
      <c r="H307" s="46">
        <f t="shared" si="61"/>
        <v>0</v>
      </c>
      <c r="I307" s="46">
        <f t="shared" si="61"/>
        <v>0</v>
      </c>
      <c r="J307" s="46">
        <f t="shared" si="61"/>
        <v>8350</v>
      </c>
      <c r="K307" s="208"/>
      <c r="L307" s="208"/>
      <c r="M307" s="208"/>
      <c r="N307" s="208"/>
      <c r="O307" s="208"/>
      <c r="P307" s="208"/>
      <c r="Q307" s="162"/>
      <c r="R307" s="28"/>
    </row>
    <row r="308" spans="1:18" x14ac:dyDescent="0.25">
      <c r="A308" s="239"/>
      <c r="B308" s="213"/>
      <c r="C308" s="239"/>
      <c r="D308" s="54" t="s">
        <v>12</v>
      </c>
      <c r="E308" s="46">
        <f>SUM(F308:J308)</f>
        <v>16132.37299</v>
      </c>
      <c r="F308" s="46">
        <f t="shared" ref="F308:J310" si="62">F188+F194+F200+F218+F224+F230+F260+F266+F290+F296+F302</f>
        <v>9607.5</v>
      </c>
      <c r="G308" s="46">
        <f t="shared" si="62"/>
        <v>6524.8729899999998</v>
      </c>
      <c r="H308" s="46">
        <f t="shared" si="62"/>
        <v>0</v>
      </c>
      <c r="I308" s="46">
        <f t="shared" si="62"/>
        <v>0</v>
      </c>
      <c r="J308" s="46">
        <f t="shared" si="62"/>
        <v>0</v>
      </c>
      <c r="K308" s="208"/>
      <c r="L308" s="208"/>
      <c r="M308" s="208"/>
      <c r="N308" s="208"/>
      <c r="O308" s="208"/>
      <c r="P308" s="208"/>
      <c r="Q308" s="162"/>
      <c r="R308" s="28"/>
    </row>
    <row r="309" spans="1:18" x14ac:dyDescent="0.25">
      <c r="A309" s="239"/>
      <c r="B309" s="213"/>
      <c r="C309" s="239"/>
      <c r="D309" s="54" t="s">
        <v>13</v>
      </c>
      <c r="E309" s="46">
        <f>SUM(F309:J309)</f>
        <v>0</v>
      </c>
      <c r="F309" s="46">
        <f t="shared" si="62"/>
        <v>0</v>
      </c>
      <c r="G309" s="46">
        <f t="shared" si="62"/>
        <v>0</v>
      </c>
      <c r="H309" s="46">
        <f t="shared" si="62"/>
        <v>0</v>
      </c>
      <c r="I309" s="46">
        <f t="shared" si="62"/>
        <v>0</v>
      </c>
      <c r="J309" s="46">
        <f t="shared" si="62"/>
        <v>0</v>
      </c>
      <c r="K309" s="208"/>
      <c r="L309" s="208"/>
      <c r="M309" s="208"/>
      <c r="N309" s="208"/>
      <c r="O309" s="208"/>
      <c r="P309" s="208"/>
      <c r="Q309" s="162"/>
      <c r="R309" s="28"/>
    </row>
    <row r="310" spans="1:18" x14ac:dyDescent="0.25">
      <c r="A310" s="239"/>
      <c r="B310" s="213"/>
      <c r="C310" s="239"/>
      <c r="D310" s="54" t="s">
        <v>14</v>
      </c>
      <c r="E310" s="46">
        <f>SUM(F310:J310)</f>
        <v>0</v>
      </c>
      <c r="F310" s="46">
        <f t="shared" si="62"/>
        <v>0</v>
      </c>
      <c r="G310" s="46">
        <f t="shared" si="62"/>
        <v>0</v>
      </c>
      <c r="H310" s="46">
        <f t="shared" si="62"/>
        <v>0</v>
      </c>
      <c r="I310" s="46">
        <f t="shared" si="62"/>
        <v>0</v>
      </c>
      <c r="J310" s="46">
        <f t="shared" si="62"/>
        <v>0</v>
      </c>
      <c r="K310" s="209"/>
      <c r="L310" s="209"/>
      <c r="M310" s="209"/>
      <c r="N310" s="209"/>
      <c r="O310" s="209"/>
      <c r="P310" s="209"/>
      <c r="Q310" s="163"/>
      <c r="R310" s="28"/>
    </row>
    <row r="311" spans="1:18" ht="15" customHeight="1" x14ac:dyDescent="0.25">
      <c r="A311" s="147">
        <v>3</v>
      </c>
      <c r="B311" s="234" t="s">
        <v>193</v>
      </c>
      <c r="C311" s="235"/>
      <c r="D311" s="235"/>
      <c r="E311" s="235"/>
      <c r="F311" s="235"/>
      <c r="G311" s="235"/>
      <c r="H311" s="235"/>
      <c r="I311" s="235"/>
      <c r="J311" s="235"/>
      <c r="K311" s="235"/>
      <c r="L311" s="235"/>
      <c r="M311" s="235"/>
      <c r="N311" s="235"/>
      <c r="O311" s="235"/>
      <c r="P311" s="235"/>
      <c r="Q311" s="236"/>
      <c r="R311" s="28"/>
    </row>
    <row r="312" spans="1:18" ht="15" customHeight="1" x14ac:dyDescent="0.25">
      <c r="A312" s="189" t="s">
        <v>67</v>
      </c>
      <c r="B312" s="213" t="s">
        <v>258</v>
      </c>
      <c r="C312" s="158" t="s">
        <v>164</v>
      </c>
      <c r="D312" s="54" t="s">
        <v>9</v>
      </c>
      <c r="E312" s="46">
        <f t="shared" ref="E312:J312" si="63">SUM(E313:E317)</f>
        <v>805.57</v>
      </c>
      <c r="F312" s="46">
        <f t="shared" si="63"/>
        <v>805.57</v>
      </c>
      <c r="G312" s="46">
        <f>SUM(G313:G317)</f>
        <v>0</v>
      </c>
      <c r="H312" s="46">
        <f>SUM(H313:H317)</f>
        <v>0</v>
      </c>
      <c r="I312" s="46">
        <f t="shared" si="63"/>
        <v>0</v>
      </c>
      <c r="J312" s="46">
        <f t="shared" si="63"/>
        <v>0</v>
      </c>
      <c r="K312" s="150"/>
      <c r="L312" s="150"/>
      <c r="M312" s="150"/>
      <c r="N312" s="150"/>
      <c r="O312" s="150"/>
      <c r="P312" s="150"/>
      <c r="Q312" s="179" t="s">
        <v>275</v>
      </c>
      <c r="R312" s="28"/>
    </row>
    <row r="313" spans="1:18" x14ac:dyDescent="0.25">
      <c r="A313" s="189"/>
      <c r="B313" s="213"/>
      <c r="C313" s="159"/>
      <c r="D313" s="155" t="s">
        <v>10</v>
      </c>
      <c r="E313" s="156"/>
      <c r="F313" s="156"/>
      <c r="G313" s="156"/>
      <c r="H313" s="156"/>
      <c r="I313" s="156"/>
      <c r="J313" s="157"/>
      <c r="K313" s="150"/>
      <c r="L313" s="150"/>
      <c r="M313" s="150"/>
      <c r="N313" s="150"/>
      <c r="O313" s="150"/>
      <c r="P313" s="150"/>
      <c r="Q313" s="180"/>
      <c r="R313" s="28"/>
    </row>
    <row r="314" spans="1:18" x14ac:dyDescent="0.25">
      <c r="A314" s="189"/>
      <c r="B314" s="213"/>
      <c r="C314" s="159"/>
      <c r="D314" s="54" t="s">
        <v>11</v>
      </c>
      <c r="E314" s="46">
        <f>SUM(F314:J314)</f>
        <v>805.57</v>
      </c>
      <c r="F314" s="46">
        <f>F326+F332+F320</f>
        <v>805.57</v>
      </c>
      <c r="G314" s="46">
        <f t="shared" ref="G314:J314" si="64">G326+G332+G320</f>
        <v>0</v>
      </c>
      <c r="H314" s="46">
        <f t="shared" si="64"/>
        <v>0</v>
      </c>
      <c r="I314" s="46">
        <f t="shared" si="64"/>
        <v>0</v>
      </c>
      <c r="J314" s="46">
        <f t="shared" si="64"/>
        <v>0</v>
      </c>
      <c r="K314" s="150"/>
      <c r="L314" s="150"/>
      <c r="M314" s="150"/>
      <c r="N314" s="150"/>
      <c r="O314" s="150"/>
      <c r="P314" s="150"/>
      <c r="Q314" s="180"/>
      <c r="R314" s="28"/>
    </row>
    <row r="315" spans="1:18" x14ac:dyDescent="0.25">
      <c r="A315" s="189"/>
      <c r="B315" s="213"/>
      <c r="C315" s="159"/>
      <c r="D315" s="54" t="s">
        <v>12</v>
      </c>
      <c r="E315" s="46">
        <f>SUM(F315:J315)</f>
        <v>0</v>
      </c>
      <c r="F315" s="46">
        <f t="shared" ref="F315:J317" si="65">F327+F333+F321</f>
        <v>0</v>
      </c>
      <c r="G315" s="46">
        <f t="shared" si="65"/>
        <v>0</v>
      </c>
      <c r="H315" s="46">
        <f t="shared" si="65"/>
        <v>0</v>
      </c>
      <c r="I315" s="46">
        <f t="shared" si="65"/>
        <v>0</v>
      </c>
      <c r="J315" s="46">
        <f t="shared" si="65"/>
        <v>0</v>
      </c>
      <c r="K315" s="150"/>
      <c r="L315" s="150"/>
      <c r="M315" s="150"/>
      <c r="N315" s="150"/>
      <c r="O315" s="150"/>
      <c r="P315" s="150"/>
      <c r="Q315" s="180"/>
      <c r="R315" s="28"/>
    </row>
    <row r="316" spans="1:18" x14ac:dyDescent="0.25">
      <c r="A316" s="189"/>
      <c r="B316" s="213"/>
      <c r="C316" s="159"/>
      <c r="D316" s="54" t="s">
        <v>13</v>
      </c>
      <c r="E316" s="46">
        <f>SUM(F316:J316)</f>
        <v>0</v>
      </c>
      <c r="F316" s="46">
        <f t="shared" si="65"/>
        <v>0</v>
      </c>
      <c r="G316" s="46">
        <f t="shared" si="65"/>
        <v>0</v>
      </c>
      <c r="H316" s="46">
        <f t="shared" si="65"/>
        <v>0</v>
      </c>
      <c r="I316" s="46">
        <f t="shared" si="65"/>
        <v>0</v>
      </c>
      <c r="J316" s="46">
        <f t="shared" si="65"/>
        <v>0</v>
      </c>
      <c r="K316" s="150"/>
      <c r="L316" s="150"/>
      <c r="M316" s="150"/>
      <c r="N316" s="150"/>
      <c r="O316" s="150"/>
      <c r="P316" s="150"/>
      <c r="Q316" s="180"/>
      <c r="R316" s="28"/>
    </row>
    <row r="317" spans="1:18" x14ac:dyDescent="0.25">
      <c r="A317" s="189"/>
      <c r="B317" s="213"/>
      <c r="C317" s="160"/>
      <c r="D317" s="54" t="s">
        <v>14</v>
      </c>
      <c r="E317" s="46">
        <f>SUM(F317:J317)</f>
        <v>0</v>
      </c>
      <c r="F317" s="46">
        <f t="shared" si="65"/>
        <v>0</v>
      </c>
      <c r="G317" s="46">
        <f t="shared" si="65"/>
        <v>0</v>
      </c>
      <c r="H317" s="46">
        <f t="shared" si="65"/>
        <v>0</v>
      </c>
      <c r="I317" s="46">
        <f t="shared" si="65"/>
        <v>0</v>
      </c>
      <c r="J317" s="46">
        <f t="shared" si="65"/>
        <v>0</v>
      </c>
      <c r="K317" s="150"/>
      <c r="L317" s="150"/>
      <c r="M317" s="150"/>
      <c r="N317" s="150"/>
      <c r="O317" s="150"/>
      <c r="P317" s="150"/>
      <c r="Q317" s="181"/>
      <c r="R317" s="28"/>
    </row>
    <row r="318" spans="1:18" x14ac:dyDescent="0.25">
      <c r="A318" s="166"/>
      <c r="B318" s="158"/>
      <c r="C318" s="158" t="s">
        <v>164</v>
      </c>
      <c r="D318" s="54" t="s">
        <v>9</v>
      </c>
      <c r="E318" s="46">
        <f t="shared" ref="E318:J318" si="66">SUM(E319:E323)</f>
        <v>35.57</v>
      </c>
      <c r="F318" s="46">
        <f t="shared" si="66"/>
        <v>35.57</v>
      </c>
      <c r="G318" s="46">
        <f t="shared" si="66"/>
        <v>0</v>
      </c>
      <c r="H318" s="46">
        <f t="shared" si="66"/>
        <v>0</v>
      </c>
      <c r="I318" s="46">
        <f t="shared" si="66"/>
        <v>0</v>
      </c>
      <c r="J318" s="46">
        <f t="shared" si="66"/>
        <v>0</v>
      </c>
      <c r="K318" s="61"/>
      <c r="L318" s="61"/>
      <c r="M318" s="61"/>
      <c r="N318" s="61"/>
      <c r="O318" s="61"/>
      <c r="P318" s="61"/>
      <c r="Q318" s="179" t="s">
        <v>73</v>
      </c>
      <c r="R318" s="28"/>
    </row>
    <row r="319" spans="1:18" x14ac:dyDescent="0.25">
      <c r="A319" s="167"/>
      <c r="B319" s="159"/>
      <c r="C319" s="159"/>
      <c r="D319" s="155" t="s">
        <v>10</v>
      </c>
      <c r="E319" s="156"/>
      <c r="F319" s="156"/>
      <c r="G319" s="156"/>
      <c r="H319" s="156"/>
      <c r="I319" s="156"/>
      <c r="J319" s="157"/>
      <c r="K319" s="61"/>
      <c r="L319" s="61"/>
      <c r="M319" s="61"/>
      <c r="N319" s="61"/>
      <c r="O319" s="61"/>
      <c r="P319" s="61"/>
      <c r="Q319" s="180"/>
      <c r="R319" s="28"/>
    </row>
    <row r="320" spans="1:18" x14ac:dyDescent="0.25">
      <c r="A320" s="167"/>
      <c r="B320" s="159"/>
      <c r="C320" s="159"/>
      <c r="D320" s="54" t="s">
        <v>11</v>
      </c>
      <c r="E320" s="46">
        <f>SUM(F320:J320)</f>
        <v>35.57</v>
      </c>
      <c r="F320" s="46">
        <v>35.57</v>
      </c>
      <c r="G320" s="46"/>
      <c r="H320" s="46"/>
      <c r="I320" s="46"/>
      <c r="J320" s="46"/>
      <c r="K320" s="61"/>
      <c r="L320" s="61"/>
      <c r="M320" s="61"/>
      <c r="N320" s="61"/>
      <c r="O320" s="61"/>
      <c r="P320" s="61"/>
      <c r="Q320" s="180"/>
      <c r="R320" s="28"/>
    </row>
    <row r="321" spans="1:18" x14ac:dyDescent="0.25">
      <c r="A321" s="167"/>
      <c r="B321" s="159"/>
      <c r="C321" s="159"/>
      <c r="D321" s="54" t="s">
        <v>12</v>
      </c>
      <c r="E321" s="46">
        <f>SUM(F321:J321)</f>
        <v>0</v>
      </c>
      <c r="F321" s="46"/>
      <c r="G321" s="46"/>
      <c r="H321" s="46"/>
      <c r="I321" s="46"/>
      <c r="J321" s="46"/>
      <c r="K321" s="61"/>
      <c r="L321" s="61"/>
      <c r="M321" s="61"/>
      <c r="N321" s="61"/>
      <c r="O321" s="61"/>
      <c r="P321" s="61"/>
      <c r="Q321" s="180"/>
      <c r="R321" s="28"/>
    </row>
    <row r="322" spans="1:18" x14ac:dyDescent="0.25">
      <c r="A322" s="167"/>
      <c r="B322" s="159"/>
      <c r="C322" s="159"/>
      <c r="D322" s="54" t="s">
        <v>13</v>
      </c>
      <c r="E322" s="46">
        <f>SUM(F322:J322)</f>
        <v>0</v>
      </c>
      <c r="F322" s="46"/>
      <c r="G322" s="46"/>
      <c r="H322" s="46"/>
      <c r="I322" s="46"/>
      <c r="J322" s="46"/>
      <c r="K322" s="61"/>
      <c r="L322" s="61"/>
      <c r="M322" s="61"/>
      <c r="N322" s="61"/>
      <c r="O322" s="61"/>
      <c r="P322" s="61"/>
      <c r="Q322" s="180"/>
      <c r="R322" s="28"/>
    </row>
    <row r="323" spans="1:18" x14ac:dyDescent="0.25">
      <c r="A323" s="168"/>
      <c r="B323" s="160"/>
      <c r="C323" s="160"/>
      <c r="D323" s="54" t="s">
        <v>14</v>
      </c>
      <c r="E323" s="46">
        <f>SUM(F323:J323)</f>
        <v>0</v>
      </c>
      <c r="F323" s="46"/>
      <c r="G323" s="46"/>
      <c r="H323" s="46"/>
      <c r="I323" s="46"/>
      <c r="J323" s="46"/>
      <c r="K323" s="61"/>
      <c r="L323" s="61"/>
      <c r="M323" s="61"/>
      <c r="N323" s="61"/>
      <c r="O323" s="61"/>
      <c r="P323" s="61"/>
      <c r="Q323" s="181"/>
      <c r="R323" s="28"/>
    </row>
    <row r="324" spans="1:18" x14ac:dyDescent="0.25">
      <c r="A324" s="166"/>
      <c r="B324" s="158"/>
      <c r="C324" s="158" t="s">
        <v>164</v>
      </c>
      <c r="D324" s="54" t="s">
        <v>9</v>
      </c>
      <c r="E324" s="46">
        <f t="shared" ref="E324:J324" si="67">SUM(E325:E329)</f>
        <v>385</v>
      </c>
      <c r="F324" s="46">
        <f t="shared" si="67"/>
        <v>385</v>
      </c>
      <c r="G324" s="46">
        <f t="shared" si="67"/>
        <v>0</v>
      </c>
      <c r="H324" s="46">
        <f t="shared" si="67"/>
        <v>0</v>
      </c>
      <c r="I324" s="46">
        <f t="shared" si="67"/>
        <v>0</v>
      </c>
      <c r="J324" s="46">
        <f t="shared" si="67"/>
        <v>0</v>
      </c>
      <c r="K324" s="61"/>
      <c r="L324" s="61"/>
      <c r="M324" s="61"/>
      <c r="N324" s="61"/>
      <c r="O324" s="61"/>
      <c r="P324" s="61"/>
      <c r="Q324" s="179" t="s">
        <v>233</v>
      </c>
      <c r="R324" s="28"/>
    </row>
    <row r="325" spans="1:18" x14ac:dyDescent="0.25">
      <c r="A325" s="167"/>
      <c r="B325" s="159"/>
      <c r="C325" s="159"/>
      <c r="D325" s="155" t="s">
        <v>10</v>
      </c>
      <c r="E325" s="156"/>
      <c r="F325" s="156"/>
      <c r="G325" s="156"/>
      <c r="H325" s="156"/>
      <c r="I325" s="156"/>
      <c r="J325" s="157"/>
      <c r="K325" s="61"/>
      <c r="L325" s="61"/>
      <c r="M325" s="61"/>
      <c r="N325" s="61"/>
      <c r="O325" s="61"/>
      <c r="P325" s="61"/>
      <c r="Q325" s="180"/>
      <c r="R325" s="28"/>
    </row>
    <row r="326" spans="1:18" x14ac:dyDescent="0.25">
      <c r="A326" s="167"/>
      <c r="B326" s="159"/>
      <c r="C326" s="159"/>
      <c r="D326" s="54" t="s">
        <v>11</v>
      </c>
      <c r="E326" s="46">
        <f>SUM(F326:J326)</f>
        <v>385</v>
      </c>
      <c r="F326" s="46">
        <v>385</v>
      </c>
      <c r="G326" s="46"/>
      <c r="H326" s="46"/>
      <c r="I326" s="46"/>
      <c r="J326" s="46"/>
      <c r="K326" s="61"/>
      <c r="L326" s="61"/>
      <c r="M326" s="61"/>
      <c r="N326" s="61"/>
      <c r="O326" s="61"/>
      <c r="P326" s="61"/>
      <c r="Q326" s="180"/>
      <c r="R326" s="28"/>
    </row>
    <row r="327" spans="1:18" x14ac:dyDescent="0.25">
      <c r="A327" s="167"/>
      <c r="B327" s="159"/>
      <c r="C327" s="159"/>
      <c r="D327" s="54" t="s">
        <v>12</v>
      </c>
      <c r="E327" s="46">
        <f>SUM(F327:J327)</f>
        <v>0</v>
      </c>
      <c r="F327" s="46"/>
      <c r="G327" s="46"/>
      <c r="H327" s="46"/>
      <c r="I327" s="46"/>
      <c r="J327" s="46"/>
      <c r="K327" s="61"/>
      <c r="L327" s="61"/>
      <c r="M327" s="61"/>
      <c r="N327" s="61"/>
      <c r="O327" s="61"/>
      <c r="P327" s="61"/>
      <c r="Q327" s="180"/>
      <c r="R327" s="28"/>
    </row>
    <row r="328" spans="1:18" x14ac:dyDescent="0.25">
      <c r="A328" s="167"/>
      <c r="B328" s="159"/>
      <c r="C328" s="159"/>
      <c r="D328" s="54" t="s">
        <v>13</v>
      </c>
      <c r="E328" s="46">
        <f>SUM(F328:J328)</f>
        <v>0</v>
      </c>
      <c r="F328" s="46"/>
      <c r="G328" s="46"/>
      <c r="H328" s="46"/>
      <c r="I328" s="46"/>
      <c r="J328" s="46"/>
      <c r="K328" s="61"/>
      <c r="L328" s="61"/>
      <c r="M328" s="61"/>
      <c r="N328" s="61"/>
      <c r="O328" s="61"/>
      <c r="P328" s="61"/>
      <c r="Q328" s="180"/>
      <c r="R328" s="28"/>
    </row>
    <row r="329" spans="1:18" x14ac:dyDescent="0.25">
      <c r="A329" s="168"/>
      <c r="B329" s="160"/>
      <c r="C329" s="160"/>
      <c r="D329" s="54" t="s">
        <v>14</v>
      </c>
      <c r="E329" s="46">
        <f>SUM(F329:J329)</f>
        <v>0</v>
      </c>
      <c r="F329" s="46"/>
      <c r="G329" s="46"/>
      <c r="H329" s="46"/>
      <c r="I329" s="46"/>
      <c r="J329" s="46"/>
      <c r="K329" s="61"/>
      <c r="L329" s="61"/>
      <c r="M329" s="61"/>
      <c r="N329" s="61"/>
      <c r="O329" s="61"/>
      <c r="P329" s="61"/>
      <c r="Q329" s="181"/>
      <c r="R329" s="28"/>
    </row>
    <row r="330" spans="1:18" ht="15" customHeight="1" x14ac:dyDescent="0.25">
      <c r="A330" s="166"/>
      <c r="B330" s="158"/>
      <c r="C330" s="158" t="s">
        <v>164</v>
      </c>
      <c r="D330" s="54" t="s">
        <v>9</v>
      </c>
      <c r="E330" s="46">
        <f t="shared" ref="E330:J330" si="68">SUM(E331:E335)</f>
        <v>385</v>
      </c>
      <c r="F330" s="46">
        <f t="shared" si="68"/>
        <v>385</v>
      </c>
      <c r="G330" s="46">
        <f t="shared" si="68"/>
        <v>0</v>
      </c>
      <c r="H330" s="46">
        <f t="shared" si="68"/>
        <v>0</v>
      </c>
      <c r="I330" s="46">
        <f t="shared" si="68"/>
        <v>0</v>
      </c>
      <c r="J330" s="46">
        <f t="shared" si="68"/>
        <v>0</v>
      </c>
      <c r="K330" s="61"/>
      <c r="L330" s="61"/>
      <c r="M330" s="61"/>
      <c r="N330" s="61"/>
      <c r="O330" s="61"/>
      <c r="P330" s="61"/>
      <c r="Q330" s="179" t="s">
        <v>69</v>
      </c>
      <c r="R330" s="28"/>
    </row>
    <row r="331" spans="1:18" x14ac:dyDescent="0.25">
      <c r="A331" s="167"/>
      <c r="B331" s="159"/>
      <c r="C331" s="159"/>
      <c r="D331" s="155" t="s">
        <v>10</v>
      </c>
      <c r="E331" s="156"/>
      <c r="F331" s="156"/>
      <c r="G331" s="156"/>
      <c r="H331" s="156"/>
      <c r="I331" s="156"/>
      <c r="J331" s="157"/>
      <c r="K331" s="61"/>
      <c r="L331" s="61"/>
      <c r="M331" s="61"/>
      <c r="N331" s="61"/>
      <c r="O331" s="61"/>
      <c r="P331" s="61"/>
      <c r="Q331" s="180"/>
      <c r="R331" s="28"/>
    </row>
    <row r="332" spans="1:18" x14ac:dyDescent="0.25">
      <c r="A332" s="167"/>
      <c r="B332" s="159"/>
      <c r="C332" s="159"/>
      <c r="D332" s="54" t="s">
        <v>11</v>
      </c>
      <c r="E332" s="46">
        <f>SUM(F332:J332)</f>
        <v>385</v>
      </c>
      <c r="F332" s="46">
        <v>385</v>
      </c>
      <c r="G332" s="46"/>
      <c r="H332" s="46"/>
      <c r="I332" s="46"/>
      <c r="J332" s="46"/>
      <c r="K332" s="61"/>
      <c r="L332" s="61"/>
      <c r="M332" s="61"/>
      <c r="N332" s="61"/>
      <c r="O332" s="61"/>
      <c r="P332" s="61"/>
      <c r="Q332" s="180"/>
      <c r="R332" s="28"/>
    </row>
    <row r="333" spans="1:18" x14ac:dyDescent="0.25">
      <c r="A333" s="167"/>
      <c r="B333" s="159"/>
      <c r="C333" s="159"/>
      <c r="D333" s="54" t="s">
        <v>12</v>
      </c>
      <c r="E333" s="46">
        <f>SUM(F333:J333)</f>
        <v>0</v>
      </c>
      <c r="F333" s="46"/>
      <c r="G333" s="46"/>
      <c r="H333" s="46"/>
      <c r="I333" s="46"/>
      <c r="J333" s="46"/>
      <c r="K333" s="61"/>
      <c r="L333" s="61"/>
      <c r="M333" s="61"/>
      <c r="N333" s="61"/>
      <c r="O333" s="61"/>
      <c r="P333" s="61"/>
      <c r="Q333" s="180"/>
      <c r="R333" s="28"/>
    </row>
    <row r="334" spans="1:18" x14ac:dyDescent="0.25">
      <c r="A334" s="167"/>
      <c r="B334" s="159"/>
      <c r="C334" s="159"/>
      <c r="D334" s="54" t="s">
        <v>13</v>
      </c>
      <c r="E334" s="46">
        <f>SUM(F334:J334)</f>
        <v>0</v>
      </c>
      <c r="F334" s="46"/>
      <c r="G334" s="46"/>
      <c r="H334" s="46"/>
      <c r="I334" s="46"/>
      <c r="J334" s="46"/>
      <c r="K334" s="61"/>
      <c r="L334" s="61"/>
      <c r="M334" s="61"/>
      <c r="N334" s="61"/>
      <c r="O334" s="61"/>
      <c r="P334" s="61"/>
      <c r="Q334" s="180"/>
      <c r="R334" s="28"/>
    </row>
    <row r="335" spans="1:18" x14ac:dyDescent="0.25">
      <c r="A335" s="168"/>
      <c r="B335" s="160"/>
      <c r="C335" s="160"/>
      <c r="D335" s="54" t="s">
        <v>14</v>
      </c>
      <c r="E335" s="46">
        <f>SUM(F335:J335)</f>
        <v>0</v>
      </c>
      <c r="F335" s="46"/>
      <c r="G335" s="46"/>
      <c r="H335" s="46"/>
      <c r="I335" s="46"/>
      <c r="J335" s="46"/>
      <c r="K335" s="61"/>
      <c r="L335" s="61"/>
      <c r="M335" s="61"/>
      <c r="N335" s="61"/>
      <c r="O335" s="61"/>
      <c r="P335" s="61"/>
      <c r="Q335" s="181"/>
      <c r="R335" s="28"/>
    </row>
    <row r="336" spans="1:18" ht="15" customHeight="1" x14ac:dyDescent="0.25">
      <c r="A336" s="166" t="s">
        <v>208</v>
      </c>
      <c r="B336" s="158" t="s">
        <v>201</v>
      </c>
      <c r="C336" s="158" t="s">
        <v>164</v>
      </c>
      <c r="D336" s="54" t="s">
        <v>9</v>
      </c>
      <c r="E336" s="46">
        <f t="shared" ref="E336:J336" si="69">SUM(E337:E341)</f>
        <v>1716</v>
      </c>
      <c r="F336" s="46">
        <f t="shared" si="69"/>
        <v>1716</v>
      </c>
      <c r="G336" s="46">
        <f t="shared" si="69"/>
        <v>0</v>
      </c>
      <c r="H336" s="46">
        <f t="shared" si="69"/>
        <v>0</v>
      </c>
      <c r="I336" s="46">
        <f t="shared" si="69"/>
        <v>0</v>
      </c>
      <c r="J336" s="46">
        <f t="shared" si="69"/>
        <v>0</v>
      </c>
      <c r="K336" s="61"/>
      <c r="L336" s="61"/>
      <c r="M336" s="61"/>
      <c r="N336" s="61"/>
      <c r="O336" s="61"/>
      <c r="P336" s="61"/>
      <c r="Q336" s="179" t="s">
        <v>80</v>
      </c>
      <c r="R336" s="28"/>
    </row>
    <row r="337" spans="1:18" x14ac:dyDescent="0.25">
      <c r="A337" s="167"/>
      <c r="B337" s="159"/>
      <c r="C337" s="159"/>
      <c r="D337" s="155" t="s">
        <v>10</v>
      </c>
      <c r="E337" s="156"/>
      <c r="F337" s="156"/>
      <c r="G337" s="156"/>
      <c r="H337" s="156"/>
      <c r="I337" s="156"/>
      <c r="J337" s="157"/>
      <c r="K337" s="61"/>
      <c r="L337" s="61"/>
      <c r="M337" s="61"/>
      <c r="N337" s="61"/>
      <c r="O337" s="61"/>
      <c r="P337" s="61"/>
      <c r="Q337" s="180"/>
      <c r="R337" s="28"/>
    </row>
    <row r="338" spans="1:18" x14ac:dyDescent="0.25">
      <c r="A338" s="167"/>
      <c r="B338" s="159"/>
      <c r="C338" s="159"/>
      <c r="D338" s="54" t="s">
        <v>11</v>
      </c>
      <c r="E338" s="46">
        <f>SUM(F338:J338)</f>
        <v>85.8</v>
      </c>
      <c r="F338" s="46">
        <v>85.8</v>
      </c>
      <c r="G338" s="46"/>
      <c r="H338" s="46"/>
      <c r="I338" s="46"/>
      <c r="J338" s="46"/>
      <c r="K338" s="61"/>
      <c r="L338" s="61"/>
      <c r="M338" s="61"/>
      <c r="N338" s="61"/>
      <c r="O338" s="61"/>
      <c r="P338" s="61"/>
      <c r="Q338" s="180"/>
      <c r="R338" s="28"/>
    </row>
    <row r="339" spans="1:18" x14ac:dyDescent="0.25">
      <c r="A339" s="167"/>
      <c r="B339" s="159"/>
      <c r="C339" s="159"/>
      <c r="D339" s="54" t="s">
        <v>12</v>
      </c>
      <c r="E339" s="46">
        <f>SUM(F339:J339)</f>
        <v>1630.2</v>
      </c>
      <c r="F339" s="46">
        <v>1630.2</v>
      </c>
      <c r="G339" s="46"/>
      <c r="H339" s="46"/>
      <c r="I339" s="46"/>
      <c r="J339" s="46"/>
      <c r="K339" s="61"/>
      <c r="L339" s="61"/>
      <c r="M339" s="61"/>
      <c r="N339" s="61"/>
      <c r="O339" s="61"/>
      <c r="P339" s="61"/>
      <c r="Q339" s="180"/>
      <c r="R339" s="28"/>
    </row>
    <row r="340" spans="1:18" x14ac:dyDescent="0.25">
      <c r="A340" s="167"/>
      <c r="B340" s="159"/>
      <c r="C340" s="159"/>
      <c r="D340" s="54" t="s">
        <v>13</v>
      </c>
      <c r="E340" s="46">
        <f>SUM(F340:J340)</f>
        <v>0</v>
      </c>
      <c r="F340" s="46"/>
      <c r="G340" s="46"/>
      <c r="H340" s="46"/>
      <c r="I340" s="46"/>
      <c r="J340" s="46"/>
      <c r="K340" s="61"/>
      <c r="L340" s="61"/>
      <c r="M340" s="61"/>
      <c r="N340" s="61"/>
      <c r="O340" s="61"/>
      <c r="P340" s="61"/>
      <c r="Q340" s="180"/>
      <c r="R340" s="28"/>
    </row>
    <row r="341" spans="1:18" x14ac:dyDescent="0.25">
      <c r="A341" s="168"/>
      <c r="B341" s="160"/>
      <c r="C341" s="160"/>
      <c r="D341" s="54" t="s">
        <v>14</v>
      </c>
      <c r="E341" s="46">
        <f>SUM(F341:J341)</f>
        <v>0</v>
      </c>
      <c r="F341" s="46"/>
      <c r="G341" s="46"/>
      <c r="H341" s="46"/>
      <c r="I341" s="46"/>
      <c r="J341" s="46"/>
      <c r="K341" s="61"/>
      <c r="L341" s="61"/>
      <c r="M341" s="61"/>
      <c r="N341" s="61"/>
      <c r="O341" s="61"/>
      <c r="P341" s="61"/>
      <c r="Q341" s="181"/>
      <c r="R341" s="28"/>
    </row>
    <row r="342" spans="1:18" ht="15" customHeight="1" x14ac:dyDescent="0.25">
      <c r="A342" s="166" t="s">
        <v>209</v>
      </c>
      <c r="B342" s="158" t="s">
        <v>78</v>
      </c>
      <c r="C342" s="158" t="s">
        <v>287</v>
      </c>
      <c r="D342" s="54" t="s">
        <v>9</v>
      </c>
      <c r="E342" s="46">
        <f t="shared" ref="E342:J342" si="70">SUM(E343:E347)</f>
        <v>3500</v>
      </c>
      <c r="F342" s="46">
        <f t="shared" si="70"/>
        <v>0</v>
      </c>
      <c r="G342" s="46">
        <f t="shared" si="70"/>
        <v>2000</v>
      </c>
      <c r="H342" s="46">
        <f t="shared" si="70"/>
        <v>0</v>
      </c>
      <c r="I342" s="46">
        <f t="shared" si="70"/>
        <v>0</v>
      </c>
      <c r="J342" s="46">
        <f t="shared" si="70"/>
        <v>1500</v>
      </c>
      <c r="K342" s="61"/>
      <c r="L342" s="61"/>
      <c r="M342" s="61"/>
      <c r="N342" s="61"/>
      <c r="O342" s="61"/>
      <c r="P342" s="61"/>
      <c r="Q342" s="179" t="s">
        <v>202</v>
      </c>
      <c r="R342" s="28"/>
    </row>
    <row r="343" spans="1:18" x14ac:dyDescent="0.25">
      <c r="A343" s="167"/>
      <c r="B343" s="159"/>
      <c r="C343" s="159"/>
      <c r="D343" s="155" t="s">
        <v>10</v>
      </c>
      <c r="E343" s="156"/>
      <c r="F343" s="156"/>
      <c r="G343" s="156"/>
      <c r="H343" s="156"/>
      <c r="I343" s="156"/>
      <c r="J343" s="157"/>
      <c r="K343" s="61"/>
      <c r="L343" s="61"/>
      <c r="M343" s="61"/>
      <c r="N343" s="61"/>
      <c r="O343" s="61"/>
      <c r="P343" s="61"/>
      <c r="Q343" s="180"/>
      <c r="R343" s="28"/>
    </row>
    <row r="344" spans="1:18" x14ac:dyDescent="0.25">
      <c r="A344" s="167"/>
      <c r="B344" s="159"/>
      <c r="C344" s="159"/>
      <c r="D344" s="54" t="s">
        <v>11</v>
      </c>
      <c r="E344" s="46">
        <f>SUM(F344:J344)</f>
        <v>3500</v>
      </c>
      <c r="F344" s="46">
        <f>F350+F356</f>
        <v>0</v>
      </c>
      <c r="G344" s="46">
        <f t="shared" ref="G344:J347" si="71">G350+G356</f>
        <v>2000</v>
      </c>
      <c r="H344" s="46">
        <f t="shared" si="71"/>
        <v>0</v>
      </c>
      <c r="I344" s="46">
        <f t="shared" si="71"/>
        <v>0</v>
      </c>
      <c r="J344" s="46">
        <f t="shared" si="71"/>
        <v>1500</v>
      </c>
      <c r="K344" s="61"/>
      <c r="L344" s="61"/>
      <c r="M344" s="61"/>
      <c r="N344" s="61"/>
      <c r="O344" s="61"/>
      <c r="P344" s="61"/>
      <c r="Q344" s="180"/>
      <c r="R344" s="28"/>
    </row>
    <row r="345" spans="1:18" x14ac:dyDescent="0.25">
      <c r="A345" s="167"/>
      <c r="B345" s="159"/>
      <c r="C345" s="159"/>
      <c r="D345" s="54" t="s">
        <v>12</v>
      </c>
      <c r="E345" s="46">
        <f>SUM(F345:J345)</f>
        <v>0</v>
      </c>
      <c r="F345" s="46">
        <f t="shared" ref="F345:J347" si="72">F351+F357</f>
        <v>0</v>
      </c>
      <c r="G345" s="46">
        <f t="shared" si="71"/>
        <v>0</v>
      </c>
      <c r="H345" s="46">
        <f t="shared" si="71"/>
        <v>0</v>
      </c>
      <c r="I345" s="46">
        <f t="shared" si="72"/>
        <v>0</v>
      </c>
      <c r="J345" s="46">
        <f t="shared" si="72"/>
        <v>0</v>
      </c>
      <c r="K345" s="61"/>
      <c r="L345" s="61"/>
      <c r="M345" s="61"/>
      <c r="N345" s="61"/>
      <c r="O345" s="61"/>
      <c r="P345" s="61"/>
      <c r="Q345" s="180"/>
      <c r="R345" s="28"/>
    </row>
    <row r="346" spans="1:18" x14ac:dyDescent="0.25">
      <c r="A346" s="167"/>
      <c r="B346" s="159"/>
      <c r="C346" s="159"/>
      <c r="D346" s="54" t="s">
        <v>13</v>
      </c>
      <c r="E346" s="46">
        <f>SUM(F346:J346)</f>
        <v>0</v>
      </c>
      <c r="F346" s="46">
        <f t="shared" si="72"/>
        <v>0</v>
      </c>
      <c r="G346" s="46">
        <f t="shared" si="71"/>
        <v>0</v>
      </c>
      <c r="H346" s="46">
        <f t="shared" si="71"/>
        <v>0</v>
      </c>
      <c r="I346" s="46">
        <f t="shared" si="72"/>
        <v>0</v>
      </c>
      <c r="J346" s="46">
        <f t="shared" si="72"/>
        <v>0</v>
      </c>
      <c r="K346" s="61"/>
      <c r="L346" s="61"/>
      <c r="M346" s="61"/>
      <c r="N346" s="61"/>
      <c r="O346" s="61"/>
      <c r="P346" s="61"/>
      <c r="Q346" s="180"/>
      <c r="R346" s="28"/>
    </row>
    <row r="347" spans="1:18" x14ac:dyDescent="0.25">
      <c r="A347" s="168"/>
      <c r="B347" s="160"/>
      <c r="C347" s="160"/>
      <c r="D347" s="54" t="s">
        <v>14</v>
      </c>
      <c r="E347" s="46">
        <f>SUM(F347:J347)</f>
        <v>0</v>
      </c>
      <c r="F347" s="46">
        <f t="shared" si="72"/>
        <v>0</v>
      </c>
      <c r="G347" s="46">
        <f t="shared" si="71"/>
        <v>0</v>
      </c>
      <c r="H347" s="46">
        <f t="shared" si="71"/>
        <v>0</v>
      </c>
      <c r="I347" s="46">
        <f t="shared" si="72"/>
        <v>0</v>
      </c>
      <c r="J347" s="46">
        <f t="shared" si="72"/>
        <v>0</v>
      </c>
      <c r="K347" s="61"/>
      <c r="L347" s="61"/>
      <c r="M347" s="61"/>
      <c r="N347" s="61"/>
      <c r="O347" s="61"/>
      <c r="P347" s="61"/>
      <c r="Q347" s="181"/>
      <c r="R347" s="28"/>
    </row>
    <row r="348" spans="1:18" ht="15" customHeight="1" x14ac:dyDescent="0.25">
      <c r="A348" s="166"/>
      <c r="B348" s="158"/>
      <c r="C348" s="158" t="s">
        <v>165</v>
      </c>
      <c r="D348" s="54" t="s">
        <v>9</v>
      </c>
      <c r="E348" s="46">
        <f t="shared" ref="E348:J348" si="73">SUM(E349:E353)</f>
        <v>2000</v>
      </c>
      <c r="F348" s="46">
        <f t="shared" si="73"/>
        <v>0</v>
      </c>
      <c r="G348" s="46">
        <f t="shared" si="73"/>
        <v>2000</v>
      </c>
      <c r="H348" s="46">
        <f t="shared" si="73"/>
        <v>0</v>
      </c>
      <c r="I348" s="46">
        <f t="shared" si="73"/>
        <v>0</v>
      </c>
      <c r="J348" s="46">
        <f t="shared" si="73"/>
        <v>0</v>
      </c>
      <c r="K348" s="61"/>
      <c r="L348" s="61"/>
      <c r="M348" s="61"/>
      <c r="N348" s="61"/>
      <c r="O348" s="61"/>
      <c r="P348" s="61"/>
      <c r="Q348" s="179" t="s">
        <v>70</v>
      </c>
      <c r="R348" s="28"/>
    </row>
    <row r="349" spans="1:18" x14ac:dyDescent="0.25">
      <c r="A349" s="167"/>
      <c r="B349" s="159"/>
      <c r="C349" s="159"/>
      <c r="D349" s="155" t="s">
        <v>10</v>
      </c>
      <c r="E349" s="156"/>
      <c r="F349" s="156"/>
      <c r="G349" s="156"/>
      <c r="H349" s="156"/>
      <c r="I349" s="156"/>
      <c r="J349" s="157"/>
      <c r="K349" s="61"/>
      <c r="L349" s="61"/>
      <c r="M349" s="61"/>
      <c r="N349" s="61"/>
      <c r="O349" s="61"/>
      <c r="P349" s="61"/>
      <c r="Q349" s="180"/>
      <c r="R349" s="28"/>
    </row>
    <row r="350" spans="1:18" x14ac:dyDescent="0.25">
      <c r="A350" s="167"/>
      <c r="B350" s="159"/>
      <c r="C350" s="159"/>
      <c r="D350" s="54" t="s">
        <v>11</v>
      </c>
      <c r="E350" s="46">
        <f>SUM(F350:J350)</f>
        <v>2000</v>
      </c>
      <c r="F350" s="46"/>
      <c r="G350" s="46">
        <v>2000</v>
      </c>
      <c r="H350" s="46"/>
      <c r="I350" s="46"/>
      <c r="J350" s="46"/>
      <c r="K350" s="61"/>
      <c r="L350" s="61"/>
      <c r="M350" s="61"/>
      <c r="N350" s="61"/>
      <c r="O350" s="61"/>
      <c r="P350" s="61"/>
      <c r="Q350" s="180"/>
      <c r="R350" s="28"/>
    </row>
    <row r="351" spans="1:18" x14ac:dyDescent="0.25">
      <c r="A351" s="167"/>
      <c r="B351" s="159"/>
      <c r="C351" s="159"/>
      <c r="D351" s="54" t="s">
        <v>12</v>
      </c>
      <c r="E351" s="46">
        <f>SUM(F351:J351)</f>
        <v>0</v>
      </c>
      <c r="F351" s="46"/>
      <c r="G351" s="46"/>
      <c r="H351" s="46"/>
      <c r="I351" s="46"/>
      <c r="J351" s="46"/>
      <c r="K351" s="61"/>
      <c r="L351" s="61"/>
      <c r="M351" s="61"/>
      <c r="N351" s="61"/>
      <c r="O351" s="61"/>
      <c r="P351" s="61"/>
      <c r="Q351" s="180"/>
      <c r="R351" s="28"/>
    </row>
    <row r="352" spans="1:18" x14ac:dyDescent="0.25">
      <c r="A352" s="167"/>
      <c r="B352" s="159"/>
      <c r="C352" s="159"/>
      <c r="D352" s="54" t="s">
        <v>13</v>
      </c>
      <c r="E352" s="46">
        <f>SUM(F352:J352)</f>
        <v>0</v>
      </c>
      <c r="F352" s="46"/>
      <c r="G352" s="46"/>
      <c r="H352" s="46"/>
      <c r="I352" s="46"/>
      <c r="J352" s="46"/>
      <c r="K352" s="61"/>
      <c r="L352" s="61"/>
      <c r="M352" s="61"/>
      <c r="N352" s="61"/>
      <c r="O352" s="61"/>
      <c r="P352" s="61"/>
      <c r="Q352" s="180"/>
      <c r="R352" s="28"/>
    </row>
    <row r="353" spans="1:18" x14ac:dyDescent="0.25">
      <c r="A353" s="168"/>
      <c r="B353" s="160"/>
      <c r="C353" s="160"/>
      <c r="D353" s="54" t="s">
        <v>14</v>
      </c>
      <c r="E353" s="46">
        <f>SUM(F353:J353)</f>
        <v>0</v>
      </c>
      <c r="F353" s="46"/>
      <c r="G353" s="46"/>
      <c r="H353" s="46"/>
      <c r="I353" s="46"/>
      <c r="J353" s="46"/>
      <c r="K353" s="61"/>
      <c r="L353" s="61"/>
      <c r="M353" s="61"/>
      <c r="N353" s="61"/>
      <c r="O353" s="61"/>
      <c r="P353" s="61"/>
      <c r="Q353" s="181"/>
      <c r="R353" s="28"/>
    </row>
    <row r="354" spans="1:18" x14ac:dyDescent="0.25">
      <c r="A354" s="166"/>
      <c r="B354" s="158"/>
      <c r="C354" s="158" t="s">
        <v>168</v>
      </c>
      <c r="D354" s="54" t="s">
        <v>9</v>
      </c>
      <c r="E354" s="46">
        <f t="shared" ref="E354:J354" si="74">SUM(E355:E359)</f>
        <v>1500</v>
      </c>
      <c r="F354" s="46">
        <f t="shared" si="74"/>
        <v>0</v>
      </c>
      <c r="G354" s="46">
        <f t="shared" si="74"/>
        <v>0</v>
      </c>
      <c r="H354" s="46">
        <f t="shared" si="74"/>
        <v>0</v>
      </c>
      <c r="I354" s="46">
        <f t="shared" si="74"/>
        <v>0</v>
      </c>
      <c r="J354" s="46">
        <f t="shared" si="74"/>
        <v>1500</v>
      </c>
      <c r="K354" s="61"/>
      <c r="L354" s="61"/>
      <c r="M354" s="61"/>
      <c r="N354" s="61"/>
      <c r="O354" s="61"/>
      <c r="P354" s="61"/>
      <c r="Q354" s="179" t="s">
        <v>73</v>
      </c>
      <c r="R354" s="28"/>
    </row>
    <row r="355" spans="1:18" x14ac:dyDescent="0.25">
      <c r="A355" s="167"/>
      <c r="B355" s="159"/>
      <c r="C355" s="159"/>
      <c r="D355" s="155" t="s">
        <v>10</v>
      </c>
      <c r="E355" s="156"/>
      <c r="F355" s="156"/>
      <c r="G355" s="156"/>
      <c r="H355" s="156"/>
      <c r="I355" s="156"/>
      <c r="J355" s="157"/>
      <c r="K355" s="61"/>
      <c r="L355" s="61"/>
      <c r="M355" s="61"/>
      <c r="N355" s="61"/>
      <c r="O355" s="61"/>
      <c r="P355" s="61"/>
      <c r="Q355" s="180"/>
      <c r="R355" s="28"/>
    </row>
    <row r="356" spans="1:18" x14ac:dyDescent="0.25">
      <c r="A356" s="167"/>
      <c r="B356" s="159"/>
      <c r="C356" s="159"/>
      <c r="D356" s="54" t="s">
        <v>11</v>
      </c>
      <c r="E356" s="46">
        <f>SUM(F356:J356)</f>
        <v>1500</v>
      </c>
      <c r="F356" s="46"/>
      <c r="G356" s="46"/>
      <c r="H356" s="46"/>
      <c r="I356" s="46"/>
      <c r="J356" s="46">
        <v>1500</v>
      </c>
      <c r="K356" s="61"/>
      <c r="L356" s="61"/>
      <c r="M356" s="61"/>
      <c r="N356" s="61"/>
      <c r="O356" s="61"/>
      <c r="P356" s="61"/>
      <c r="Q356" s="180"/>
      <c r="R356" s="28"/>
    </row>
    <row r="357" spans="1:18" x14ac:dyDescent="0.25">
      <c r="A357" s="167"/>
      <c r="B357" s="159"/>
      <c r="C357" s="159"/>
      <c r="D357" s="54" t="s">
        <v>12</v>
      </c>
      <c r="E357" s="46">
        <f>SUM(F357:J357)</f>
        <v>0</v>
      </c>
      <c r="F357" s="46"/>
      <c r="G357" s="46"/>
      <c r="H357" s="46"/>
      <c r="I357" s="46"/>
      <c r="J357" s="46"/>
      <c r="K357" s="61"/>
      <c r="L357" s="61"/>
      <c r="M357" s="61"/>
      <c r="N357" s="61"/>
      <c r="O357" s="61"/>
      <c r="P357" s="61"/>
      <c r="Q357" s="180"/>
      <c r="R357" s="28"/>
    </row>
    <row r="358" spans="1:18" x14ac:dyDescent="0.25">
      <c r="A358" s="167"/>
      <c r="B358" s="159"/>
      <c r="C358" s="159"/>
      <c r="D358" s="54" t="s">
        <v>13</v>
      </c>
      <c r="E358" s="46">
        <f>SUM(F358:J358)</f>
        <v>0</v>
      </c>
      <c r="F358" s="46"/>
      <c r="G358" s="46"/>
      <c r="H358" s="46"/>
      <c r="I358" s="46"/>
      <c r="J358" s="46"/>
      <c r="K358" s="61"/>
      <c r="L358" s="61"/>
      <c r="M358" s="61"/>
      <c r="N358" s="61"/>
      <c r="O358" s="61"/>
      <c r="P358" s="61"/>
      <c r="Q358" s="180"/>
      <c r="R358" s="28"/>
    </row>
    <row r="359" spans="1:18" x14ac:dyDescent="0.25">
      <c r="A359" s="168"/>
      <c r="B359" s="160"/>
      <c r="C359" s="160"/>
      <c r="D359" s="54" t="s">
        <v>14</v>
      </c>
      <c r="E359" s="46">
        <f>SUM(F359:J359)</f>
        <v>0</v>
      </c>
      <c r="F359" s="46"/>
      <c r="G359" s="46"/>
      <c r="H359" s="46"/>
      <c r="I359" s="46"/>
      <c r="J359" s="46"/>
      <c r="K359" s="61"/>
      <c r="L359" s="61"/>
      <c r="M359" s="61"/>
      <c r="N359" s="61"/>
      <c r="O359" s="61"/>
      <c r="P359" s="61"/>
      <c r="Q359" s="181"/>
      <c r="R359" s="28"/>
    </row>
    <row r="360" spans="1:18" ht="15" customHeight="1" x14ac:dyDescent="0.25">
      <c r="A360" s="166" t="s">
        <v>259</v>
      </c>
      <c r="B360" s="158" t="s">
        <v>260</v>
      </c>
      <c r="C360" s="158" t="s">
        <v>164</v>
      </c>
      <c r="D360" s="54" t="s">
        <v>9</v>
      </c>
      <c r="E360" s="46">
        <f t="shared" ref="E360:J360" si="75">SUM(E361:E365)</f>
        <v>182.56700000000001</v>
      </c>
      <c r="F360" s="46">
        <f t="shared" si="75"/>
        <v>182.56700000000001</v>
      </c>
      <c r="G360" s="46">
        <f t="shared" si="75"/>
        <v>0</v>
      </c>
      <c r="H360" s="46">
        <f t="shared" si="75"/>
        <v>0</v>
      </c>
      <c r="I360" s="46">
        <f t="shared" si="75"/>
        <v>0</v>
      </c>
      <c r="J360" s="46">
        <f t="shared" si="75"/>
        <v>0</v>
      </c>
      <c r="K360" s="61"/>
      <c r="L360" s="61"/>
      <c r="M360" s="61"/>
      <c r="N360" s="61"/>
      <c r="O360" s="61"/>
      <c r="P360" s="61"/>
      <c r="Q360" s="179" t="s">
        <v>68</v>
      </c>
      <c r="R360" s="28"/>
    </row>
    <row r="361" spans="1:18" x14ac:dyDescent="0.25">
      <c r="A361" s="167"/>
      <c r="B361" s="159"/>
      <c r="C361" s="159"/>
      <c r="D361" s="155" t="s">
        <v>10</v>
      </c>
      <c r="E361" s="156"/>
      <c r="F361" s="156"/>
      <c r="G361" s="156"/>
      <c r="H361" s="156"/>
      <c r="I361" s="156"/>
      <c r="J361" s="157"/>
      <c r="K361" s="61"/>
      <c r="L361" s="61"/>
      <c r="M361" s="61"/>
      <c r="N361" s="61"/>
      <c r="O361" s="61"/>
      <c r="P361" s="61"/>
      <c r="Q361" s="180"/>
      <c r="R361" s="28"/>
    </row>
    <row r="362" spans="1:18" x14ac:dyDescent="0.25">
      <c r="A362" s="167"/>
      <c r="B362" s="159"/>
      <c r="C362" s="159"/>
      <c r="D362" s="54" t="s">
        <v>11</v>
      </c>
      <c r="E362" s="46">
        <f>SUM(F362:J362)</f>
        <v>182.56700000000001</v>
      </c>
      <c r="F362" s="46">
        <v>182.56700000000001</v>
      </c>
      <c r="G362" s="46"/>
      <c r="H362" s="46"/>
      <c r="I362" s="46"/>
      <c r="J362" s="46"/>
      <c r="K362" s="61"/>
      <c r="L362" s="61"/>
      <c r="M362" s="61"/>
      <c r="N362" s="61"/>
      <c r="O362" s="61"/>
      <c r="P362" s="61"/>
      <c r="Q362" s="180"/>
      <c r="R362" s="28"/>
    </row>
    <row r="363" spans="1:18" x14ac:dyDescent="0.25">
      <c r="A363" s="167"/>
      <c r="B363" s="159"/>
      <c r="C363" s="159"/>
      <c r="D363" s="54" t="s">
        <v>12</v>
      </c>
      <c r="E363" s="46">
        <f>SUM(F363:J363)</f>
        <v>0</v>
      </c>
      <c r="F363" s="46"/>
      <c r="G363" s="46"/>
      <c r="H363" s="46"/>
      <c r="I363" s="46"/>
      <c r="J363" s="46"/>
      <c r="K363" s="61"/>
      <c r="L363" s="61"/>
      <c r="M363" s="61"/>
      <c r="N363" s="61"/>
      <c r="O363" s="61"/>
      <c r="P363" s="61"/>
      <c r="Q363" s="180"/>
      <c r="R363" s="28"/>
    </row>
    <row r="364" spans="1:18" x14ac:dyDescent="0.25">
      <c r="A364" s="167"/>
      <c r="B364" s="159"/>
      <c r="C364" s="159"/>
      <c r="D364" s="54" t="s">
        <v>13</v>
      </c>
      <c r="E364" s="46">
        <f>SUM(F364:J364)</f>
        <v>0</v>
      </c>
      <c r="F364" s="46"/>
      <c r="G364" s="46"/>
      <c r="H364" s="46"/>
      <c r="I364" s="46"/>
      <c r="J364" s="46"/>
      <c r="K364" s="61"/>
      <c r="L364" s="61"/>
      <c r="M364" s="61"/>
      <c r="N364" s="61"/>
      <c r="O364" s="61"/>
      <c r="P364" s="61"/>
      <c r="Q364" s="180"/>
      <c r="R364" s="28"/>
    </row>
    <row r="365" spans="1:18" x14ac:dyDescent="0.25">
      <c r="A365" s="168"/>
      <c r="B365" s="160"/>
      <c r="C365" s="160"/>
      <c r="D365" s="54" t="s">
        <v>14</v>
      </c>
      <c r="E365" s="46">
        <f>SUM(F365:J365)</f>
        <v>0</v>
      </c>
      <c r="F365" s="46"/>
      <c r="G365" s="46"/>
      <c r="H365" s="46"/>
      <c r="I365" s="46"/>
      <c r="J365" s="46"/>
      <c r="K365" s="61"/>
      <c r="L365" s="61"/>
      <c r="M365" s="61"/>
      <c r="N365" s="61"/>
      <c r="O365" s="61"/>
      <c r="P365" s="61"/>
      <c r="Q365" s="181"/>
      <c r="R365" s="28"/>
    </row>
    <row r="366" spans="1:18" ht="15" customHeight="1" x14ac:dyDescent="0.25">
      <c r="A366" s="166" t="s">
        <v>261</v>
      </c>
      <c r="B366" s="158" t="s">
        <v>262</v>
      </c>
      <c r="C366" s="158" t="s">
        <v>164</v>
      </c>
      <c r="D366" s="54" t="s">
        <v>9</v>
      </c>
      <c r="E366" s="46">
        <f t="shared" ref="E366:J366" si="76">SUM(E367:E371)</f>
        <v>200</v>
      </c>
      <c r="F366" s="46">
        <f t="shared" si="76"/>
        <v>200</v>
      </c>
      <c r="G366" s="46">
        <f t="shared" si="76"/>
        <v>0</v>
      </c>
      <c r="H366" s="46">
        <f t="shared" si="76"/>
        <v>0</v>
      </c>
      <c r="I366" s="46">
        <f t="shared" si="76"/>
        <v>0</v>
      </c>
      <c r="J366" s="46">
        <f t="shared" si="76"/>
        <v>0</v>
      </c>
      <c r="K366" s="61"/>
      <c r="L366" s="61"/>
      <c r="M366" s="61"/>
      <c r="N366" s="61"/>
      <c r="O366" s="61"/>
      <c r="P366" s="61"/>
      <c r="Q366" s="179" t="s">
        <v>74</v>
      </c>
      <c r="R366" s="28"/>
    </row>
    <row r="367" spans="1:18" x14ac:dyDescent="0.25">
      <c r="A367" s="167"/>
      <c r="B367" s="159"/>
      <c r="C367" s="159"/>
      <c r="D367" s="155" t="s">
        <v>10</v>
      </c>
      <c r="E367" s="156"/>
      <c r="F367" s="156"/>
      <c r="G367" s="156"/>
      <c r="H367" s="156"/>
      <c r="I367" s="156"/>
      <c r="J367" s="157"/>
      <c r="K367" s="61"/>
      <c r="L367" s="61"/>
      <c r="M367" s="61"/>
      <c r="N367" s="61"/>
      <c r="O367" s="61"/>
      <c r="P367" s="61"/>
      <c r="Q367" s="180"/>
      <c r="R367" s="28"/>
    </row>
    <row r="368" spans="1:18" x14ac:dyDescent="0.25">
      <c r="A368" s="167"/>
      <c r="B368" s="159"/>
      <c r="C368" s="159"/>
      <c r="D368" s="54" t="s">
        <v>11</v>
      </c>
      <c r="E368" s="46">
        <f>SUM(F368:J368)</f>
        <v>200</v>
      </c>
      <c r="F368" s="46">
        <v>200</v>
      </c>
      <c r="G368" s="46"/>
      <c r="H368" s="46"/>
      <c r="I368" s="46"/>
      <c r="J368" s="46"/>
      <c r="K368" s="61"/>
      <c r="L368" s="61"/>
      <c r="M368" s="61"/>
      <c r="N368" s="61"/>
      <c r="O368" s="61"/>
      <c r="P368" s="61"/>
      <c r="Q368" s="180"/>
      <c r="R368" s="28"/>
    </row>
    <row r="369" spans="1:18" x14ac:dyDescent="0.25">
      <c r="A369" s="167"/>
      <c r="B369" s="159"/>
      <c r="C369" s="159"/>
      <c r="D369" s="54" t="s">
        <v>12</v>
      </c>
      <c r="E369" s="46">
        <f>SUM(F369:J369)</f>
        <v>0</v>
      </c>
      <c r="F369" s="46"/>
      <c r="G369" s="46"/>
      <c r="H369" s="46"/>
      <c r="I369" s="46"/>
      <c r="J369" s="46"/>
      <c r="K369" s="61"/>
      <c r="L369" s="61"/>
      <c r="M369" s="61"/>
      <c r="N369" s="61"/>
      <c r="O369" s="61"/>
      <c r="P369" s="61"/>
      <c r="Q369" s="180"/>
      <c r="R369" s="28"/>
    </row>
    <row r="370" spans="1:18" x14ac:dyDescent="0.25">
      <c r="A370" s="167"/>
      <c r="B370" s="159"/>
      <c r="C370" s="159"/>
      <c r="D370" s="54" t="s">
        <v>13</v>
      </c>
      <c r="E370" s="46">
        <f>SUM(F370:J370)</f>
        <v>0</v>
      </c>
      <c r="F370" s="46"/>
      <c r="G370" s="46"/>
      <c r="H370" s="46"/>
      <c r="I370" s="46"/>
      <c r="J370" s="46"/>
      <c r="K370" s="61"/>
      <c r="L370" s="61"/>
      <c r="M370" s="61"/>
      <c r="N370" s="61"/>
      <c r="O370" s="61"/>
      <c r="P370" s="61"/>
      <c r="Q370" s="180"/>
      <c r="R370" s="28"/>
    </row>
    <row r="371" spans="1:18" x14ac:dyDescent="0.25">
      <c r="A371" s="168"/>
      <c r="B371" s="160"/>
      <c r="C371" s="160"/>
      <c r="D371" s="54" t="s">
        <v>14</v>
      </c>
      <c r="E371" s="46">
        <f>SUM(F371:J371)</f>
        <v>0</v>
      </c>
      <c r="F371" s="46"/>
      <c r="G371" s="46"/>
      <c r="H371" s="46"/>
      <c r="I371" s="46"/>
      <c r="J371" s="46"/>
      <c r="K371" s="61"/>
      <c r="L371" s="61"/>
      <c r="M371" s="61"/>
      <c r="N371" s="61"/>
      <c r="O371" s="61"/>
      <c r="P371" s="61"/>
      <c r="Q371" s="181"/>
      <c r="R371" s="28"/>
    </row>
    <row r="372" spans="1:18" ht="15" customHeight="1" x14ac:dyDescent="0.25">
      <c r="A372" s="166" t="s">
        <v>292</v>
      </c>
      <c r="B372" s="158" t="s">
        <v>293</v>
      </c>
      <c r="C372" s="158" t="s">
        <v>165</v>
      </c>
      <c r="D372" s="54" t="s">
        <v>9</v>
      </c>
      <c r="E372" s="46">
        <f t="shared" ref="E372:J372" si="77">SUM(E373:E377)</f>
        <v>87.4</v>
      </c>
      <c r="F372" s="46">
        <f t="shared" si="77"/>
        <v>0</v>
      </c>
      <c r="G372" s="46">
        <f t="shared" si="77"/>
        <v>87.4</v>
      </c>
      <c r="H372" s="46">
        <f t="shared" si="77"/>
        <v>0</v>
      </c>
      <c r="I372" s="46">
        <f t="shared" si="77"/>
        <v>0</v>
      </c>
      <c r="J372" s="46">
        <f t="shared" si="77"/>
        <v>0</v>
      </c>
      <c r="K372" s="61"/>
      <c r="L372" s="61"/>
      <c r="M372" s="61"/>
      <c r="N372" s="61"/>
      <c r="O372" s="61"/>
      <c r="P372" s="61"/>
      <c r="Q372" s="179" t="s">
        <v>70</v>
      </c>
      <c r="R372" s="28"/>
    </row>
    <row r="373" spans="1:18" x14ac:dyDescent="0.25">
      <c r="A373" s="167"/>
      <c r="B373" s="159"/>
      <c r="C373" s="159"/>
      <c r="D373" s="155" t="s">
        <v>10</v>
      </c>
      <c r="E373" s="156"/>
      <c r="F373" s="156"/>
      <c r="G373" s="156"/>
      <c r="H373" s="156"/>
      <c r="I373" s="156"/>
      <c r="J373" s="157"/>
      <c r="K373" s="61"/>
      <c r="L373" s="61"/>
      <c r="M373" s="61"/>
      <c r="N373" s="61"/>
      <c r="O373" s="61"/>
      <c r="P373" s="61"/>
      <c r="Q373" s="180"/>
      <c r="R373" s="28"/>
    </row>
    <row r="374" spans="1:18" x14ac:dyDescent="0.25">
      <c r="A374" s="167"/>
      <c r="B374" s="159"/>
      <c r="C374" s="159"/>
      <c r="D374" s="54" t="s">
        <v>11</v>
      </c>
      <c r="E374" s="46">
        <f>SUM(F374:J374)</f>
        <v>87.4</v>
      </c>
      <c r="F374" s="46"/>
      <c r="G374" s="46">
        <v>87.4</v>
      </c>
      <c r="H374" s="46"/>
      <c r="I374" s="46"/>
      <c r="J374" s="46"/>
      <c r="K374" s="61"/>
      <c r="L374" s="61"/>
      <c r="M374" s="61"/>
      <c r="N374" s="61"/>
      <c r="O374" s="61"/>
      <c r="P374" s="61"/>
      <c r="Q374" s="180"/>
      <c r="R374" s="28"/>
    </row>
    <row r="375" spans="1:18" x14ac:dyDescent="0.25">
      <c r="A375" s="167"/>
      <c r="B375" s="159"/>
      <c r="C375" s="159"/>
      <c r="D375" s="54" t="s">
        <v>12</v>
      </c>
      <c r="E375" s="46">
        <f>SUM(F375:J375)</f>
        <v>0</v>
      </c>
      <c r="F375" s="46"/>
      <c r="G375" s="46"/>
      <c r="H375" s="46"/>
      <c r="I375" s="46"/>
      <c r="J375" s="46"/>
      <c r="K375" s="61"/>
      <c r="L375" s="61"/>
      <c r="M375" s="61"/>
      <c r="N375" s="61"/>
      <c r="O375" s="61"/>
      <c r="P375" s="61"/>
      <c r="Q375" s="180"/>
      <c r="R375" s="28"/>
    </row>
    <row r="376" spans="1:18" x14ac:dyDescent="0.25">
      <c r="A376" s="167"/>
      <c r="B376" s="159"/>
      <c r="C376" s="159"/>
      <c r="D376" s="54" t="s">
        <v>13</v>
      </c>
      <c r="E376" s="46">
        <f>SUM(F376:J376)</f>
        <v>0</v>
      </c>
      <c r="F376" s="46"/>
      <c r="G376" s="46"/>
      <c r="H376" s="46"/>
      <c r="I376" s="46"/>
      <c r="J376" s="46"/>
      <c r="K376" s="61"/>
      <c r="L376" s="61"/>
      <c r="M376" s="61"/>
      <c r="N376" s="61"/>
      <c r="O376" s="61"/>
      <c r="P376" s="61"/>
      <c r="Q376" s="180"/>
      <c r="R376" s="28"/>
    </row>
    <row r="377" spans="1:18" x14ac:dyDescent="0.25">
      <c r="A377" s="168"/>
      <c r="B377" s="160"/>
      <c r="C377" s="160"/>
      <c r="D377" s="54" t="s">
        <v>14</v>
      </c>
      <c r="E377" s="46">
        <f>SUM(F377:J377)</f>
        <v>0</v>
      </c>
      <c r="F377" s="46"/>
      <c r="G377" s="46"/>
      <c r="H377" s="46"/>
      <c r="I377" s="46"/>
      <c r="J377" s="46"/>
      <c r="K377" s="61"/>
      <c r="L377" s="61"/>
      <c r="M377" s="61"/>
      <c r="N377" s="61"/>
      <c r="O377" s="61"/>
      <c r="P377" s="61"/>
      <c r="Q377" s="181"/>
      <c r="R377" s="28"/>
    </row>
    <row r="378" spans="1:18" x14ac:dyDescent="0.25">
      <c r="A378" s="239"/>
      <c r="B378" s="213" t="s">
        <v>66</v>
      </c>
      <c r="C378" s="239"/>
      <c r="D378" s="54" t="s">
        <v>9</v>
      </c>
      <c r="E378" s="46">
        <f t="shared" ref="E378:J378" si="78">SUM(E379:E383)</f>
        <v>6491.5369999999994</v>
      </c>
      <c r="F378" s="46">
        <f t="shared" si="78"/>
        <v>2904.1369999999997</v>
      </c>
      <c r="G378" s="46">
        <f t="shared" si="78"/>
        <v>2087.4</v>
      </c>
      <c r="H378" s="46">
        <f t="shared" si="78"/>
        <v>0</v>
      </c>
      <c r="I378" s="46">
        <f t="shared" si="78"/>
        <v>0</v>
      </c>
      <c r="J378" s="46">
        <f t="shared" si="78"/>
        <v>1500</v>
      </c>
      <c r="K378" s="207"/>
      <c r="L378" s="207"/>
      <c r="M378" s="207"/>
      <c r="N378" s="207"/>
      <c r="O378" s="207"/>
      <c r="P378" s="207"/>
      <c r="Q378" s="161"/>
      <c r="R378" s="28"/>
    </row>
    <row r="379" spans="1:18" x14ac:dyDescent="0.25">
      <c r="A379" s="239"/>
      <c r="B379" s="213"/>
      <c r="C379" s="239"/>
      <c r="D379" s="155" t="s">
        <v>10</v>
      </c>
      <c r="E379" s="156"/>
      <c r="F379" s="156"/>
      <c r="G379" s="156"/>
      <c r="H379" s="156"/>
      <c r="I379" s="156"/>
      <c r="J379" s="157"/>
      <c r="K379" s="208"/>
      <c r="L379" s="208"/>
      <c r="M379" s="208"/>
      <c r="N379" s="208"/>
      <c r="O379" s="208"/>
      <c r="P379" s="208"/>
      <c r="Q379" s="162"/>
      <c r="R379" s="28"/>
    </row>
    <row r="380" spans="1:18" x14ac:dyDescent="0.25">
      <c r="A380" s="239"/>
      <c r="B380" s="213"/>
      <c r="C380" s="239"/>
      <c r="D380" s="54" t="s">
        <v>11</v>
      </c>
      <c r="E380" s="46">
        <f>SUM(F380:J380)</f>
        <v>4861.3369999999995</v>
      </c>
      <c r="F380" s="46">
        <f>F314+F338+F344+F362+F368+F374</f>
        <v>1273.9369999999999</v>
      </c>
      <c r="G380" s="46">
        <f t="shared" ref="G380:J380" si="79">G314+G338+G344+G362+G368+G374</f>
        <v>2087.4</v>
      </c>
      <c r="H380" s="46">
        <f t="shared" si="79"/>
        <v>0</v>
      </c>
      <c r="I380" s="46">
        <f t="shared" si="79"/>
        <v>0</v>
      </c>
      <c r="J380" s="46">
        <f t="shared" si="79"/>
        <v>1500</v>
      </c>
      <c r="K380" s="208"/>
      <c r="L380" s="208"/>
      <c r="M380" s="208"/>
      <c r="N380" s="208"/>
      <c r="O380" s="208"/>
      <c r="P380" s="208"/>
      <c r="Q380" s="162"/>
      <c r="R380" s="28"/>
    </row>
    <row r="381" spans="1:18" x14ac:dyDescent="0.25">
      <c r="A381" s="239"/>
      <c r="B381" s="213"/>
      <c r="C381" s="239"/>
      <c r="D381" s="54" t="s">
        <v>12</v>
      </c>
      <c r="E381" s="46">
        <f>SUM(F381:J381)</f>
        <v>1630.2</v>
      </c>
      <c r="F381" s="46">
        <f t="shared" ref="F381:J383" si="80">F315+F339+F345+F363+F369+F375</f>
        <v>1630.2</v>
      </c>
      <c r="G381" s="46">
        <f t="shared" si="80"/>
        <v>0</v>
      </c>
      <c r="H381" s="46">
        <f t="shared" si="80"/>
        <v>0</v>
      </c>
      <c r="I381" s="46">
        <f t="shared" si="80"/>
        <v>0</v>
      </c>
      <c r="J381" s="46">
        <f t="shared" si="80"/>
        <v>0</v>
      </c>
      <c r="K381" s="208"/>
      <c r="L381" s="208"/>
      <c r="M381" s="208"/>
      <c r="N381" s="208"/>
      <c r="O381" s="208"/>
      <c r="P381" s="208"/>
      <c r="Q381" s="162"/>
      <c r="R381" s="28"/>
    </row>
    <row r="382" spans="1:18" x14ac:dyDescent="0.25">
      <c r="A382" s="239"/>
      <c r="B382" s="213"/>
      <c r="C382" s="239"/>
      <c r="D382" s="54" t="s">
        <v>13</v>
      </c>
      <c r="E382" s="46">
        <f>SUM(F382:J382)</f>
        <v>0</v>
      </c>
      <c r="F382" s="46">
        <f t="shared" si="80"/>
        <v>0</v>
      </c>
      <c r="G382" s="46">
        <f t="shared" si="80"/>
        <v>0</v>
      </c>
      <c r="H382" s="46">
        <f t="shared" si="80"/>
        <v>0</v>
      </c>
      <c r="I382" s="46">
        <f t="shared" si="80"/>
        <v>0</v>
      </c>
      <c r="J382" s="46">
        <f t="shared" si="80"/>
        <v>0</v>
      </c>
      <c r="K382" s="208"/>
      <c r="L382" s="208"/>
      <c r="M382" s="208"/>
      <c r="N382" s="208"/>
      <c r="O382" s="208"/>
      <c r="P382" s="208"/>
      <c r="Q382" s="162"/>
      <c r="R382" s="28"/>
    </row>
    <row r="383" spans="1:18" x14ac:dyDescent="0.25">
      <c r="A383" s="239"/>
      <c r="B383" s="213"/>
      <c r="C383" s="239"/>
      <c r="D383" s="54" t="s">
        <v>14</v>
      </c>
      <c r="E383" s="46">
        <f>SUM(F383:J383)</f>
        <v>0</v>
      </c>
      <c r="F383" s="46">
        <f t="shared" si="80"/>
        <v>0</v>
      </c>
      <c r="G383" s="46">
        <f t="shared" si="80"/>
        <v>0</v>
      </c>
      <c r="H383" s="46">
        <f t="shared" si="80"/>
        <v>0</v>
      </c>
      <c r="I383" s="46">
        <f t="shared" si="80"/>
        <v>0</v>
      </c>
      <c r="J383" s="46">
        <f t="shared" si="80"/>
        <v>0</v>
      </c>
      <c r="K383" s="209"/>
      <c r="L383" s="209"/>
      <c r="M383" s="209"/>
      <c r="N383" s="209"/>
      <c r="O383" s="209"/>
      <c r="P383" s="209"/>
      <c r="Q383" s="163"/>
      <c r="R383" s="28"/>
    </row>
    <row r="384" spans="1:18" ht="15" customHeight="1" x14ac:dyDescent="0.25">
      <c r="A384" s="147">
        <v>4</v>
      </c>
      <c r="B384" s="234" t="s">
        <v>194</v>
      </c>
      <c r="C384" s="235"/>
      <c r="D384" s="235"/>
      <c r="E384" s="235"/>
      <c r="F384" s="235"/>
      <c r="G384" s="235"/>
      <c r="H384" s="235"/>
      <c r="I384" s="235"/>
      <c r="J384" s="235"/>
      <c r="K384" s="235"/>
      <c r="L384" s="235"/>
      <c r="M384" s="235"/>
      <c r="N384" s="235"/>
      <c r="O384" s="235"/>
      <c r="P384" s="235"/>
      <c r="Q384" s="236"/>
      <c r="R384" s="28"/>
    </row>
    <row r="385" spans="1:18" ht="15" customHeight="1" x14ac:dyDescent="0.25">
      <c r="A385" s="166" t="s">
        <v>100</v>
      </c>
      <c r="B385" s="158" t="s">
        <v>197</v>
      </c>
      <c r="C385" s="158" t="s">
        <v>176</v>
      </c>
      <c r="D385" s="54" t="s">
        <v>9</v>
      </c>
      <c r="E385" s="46">
        <f t="shared" ref="E385:J385" si="81">SUM(E386:E390)</f>
        <v>1070</v>
      </c>
      <c r="F385" s="46">
        <f t="shared" si="81"/>
        <v>1070</v>
      </c>
      <c r="G385" s="46">
        <f t="shared" si="81"/>
        <v>0</v>
      </c>
      <c r="H385" s="46">
        <f t="shared" si="81"/>
        <v>0</v>
      </c>
      <c r="I385" s="46">
        <f t="shared" si="81"/>
        <v>0</v>
      </c>
      <c r="J385" s="46">
        <f t="shared" si="81"/>
        <v>0</v>
      </c>
      <c r="K385" s="61"/>
      <c r="L385" s="61"/>
      <c r="M385" s="61"/>
      <c r="N385" s="61"/>
      <c r="O385" s="61"/>
      <c r="P385" s="61"/>
      <c r="Q385" s="179" t="s">
        <v>263</v>
      </c>
      <c r="R385" s="28"/>
    </row>
    <row r="386" spans="1:18" x14ac:dyDescent="0.25">
      <c r="A386" s="167"/>
      <c r="B386" s="159"/>
      <c r="C386" s="159"/>
      <c r="D386" s="155" t="s">
        <v>10</v>
      </c>
      <c r="E386" s="156"/>
      <c r="F386" s="156"/>
      <c r="G386" s="156"/>
      <c r="H386" s="156"/>
      <c r="I386" s="156"/>
      <c r="J386" s="157"/>
      <c r="K386" s="61"/>
      <c r="L386" s="61"/>
      <c r="M386" s="61"/>
      <c r="N386" s="61"/>
      <c r="O386" s="61"/>
      <c r="P386" s="61"/>
      <c r="Q386" s="180"/>
      <c r="R386" s="28"/>
    </row>
    <row r="387" spans="1:18" x14ac:dyDescent="0.25">
      <c r="A387" s="167"/>
      <c r="B387" s="159"/>
      <c r="C387" s="159"/>
      <c r="D387" s="54" t="s">
        <v>11</v>
      </c>
      <c r="E387" s="46">
        <f>SUM(F387:J387)</f>
        <v>120</v>
      </c>
      <c r="F387" s="46">
        <f>F399+F393</f>
        <v>120</v>
      </c>
      <c r="G387" s="46">
        <f>G399+G393</f>
        <v>0</v>
      </c>
      <c r="H387" s="46">
        <f>H399+H393</f>
        <v>0</v>
      </c>
      <c r="I387" s="46">
        <f>I399+I393</f>
        <v>0</v>
      </c>
      <c r="J387" s="46">
        <f>J399+J393</f>
        <v>0</v>
      </c>
      <c r="K387" s="61"/>
      <c r="L387" s="61"/>
      <c r="M387" s="61"/>
      <c r="N387" s="61"/>
      <c r="O387" s="61"/>
      <c r="P387" s="61"/>
      <c r="Q387" s="180"/>
      <c r="R387" s="28"/>
    </row>
    <row r="388" spans="1:18" x14ac:dyDescent="0.25">
      <c r="A388" s="167"/>
      <c r="B388" s="159"/>
      <c r="C388" s="159"/>
      <c r="D388" s="54" t="s">
        <v>12</v>
      </c>
      <c r="E388" s="46">
        <f>SUM(F388:J388)</f>
        <v>950</v>
      </c>
      <c r="F388" s="46">
        <f t="shared" ref="F388:J390" si="82">F400+F394</f>
        <v>950</v>
      </c>
      <c r="G388" s="46">
        <f t="shared" si="82"/>
        <v>0</v>
      </c>
      <c r="H388" s="46">
        <f t="shared" si="82"/>
        <v>0</v>
      </c>
      <c r="I388" s="46">
        <f t="shared" si="82"/>
        <v>0</v>
      </c>
      <c r="J388" s="46">
        <f t="shared" si="82"/>
        <v>0</v>
      </c>
      <c r="K388" s="61"/>
      <c r="L388" s="61"/>
      <c r="M388" s="61"/>
      <c r="N388" s="61"/>
      <c r="O388" s="61"/>
      <c r="P388" s="61"/>
      <c r="Q388" s="180"/>
      <c r="R388" s="28"/>
    </row>
    <row r="389" spans="1:18" x14ac:dyDescent="0.25">
      <c r="A389" s="167"/>
      <c r="B389" s="159"/>
      <c r="C389" s="159"/>
      <c r="D389" s="54" t="s">
        <v>13</v>
      </c>
      <c r="E389" s="46">
        <f>SUM(F389:J389)</f>
        <v>0</v>
      </c>
      <c r="F389" s="46">
        <f t="shared" si="82"/>
        <v>0</v>
      </c>
      <c r="G389" s="46">
        <f t="shared" si="82"/>
        <v>0</v>
      </c>
      <c r="H389" s="46">
        <f t="shared" si="82"/>
        <v>0</v>
      </c>
      <c r="I389" s="46">
        <f t="shared" si="82"/>
        <v>0</v>
      </c>
      <c r="J389" s="46">
        <f t="shared" si="82"/>
        <v>0</v>
      </c>
      <c r="K389" s="61"/>
      <c r="L389" s="61"/>
      <c r="M389" s="61"/>
      <c r="N389" s="61"/>
      <c r="O389" s="61"/>
      <c r="P389" s="61"/>
      <c r="Q389" s="180"/>
      <c r="R389" s="28"/>
    </row>
    <row r="390" spans="1:18" x14ac:dyDescent="0.25">
      <c r="A390" s="168"/>
      <c r="B390" s="160"/>
      <c r="C390" s="160"/>
      <c r="D390" s="54" t="s">
        <v>14</v>
      </c>
      <c r="E390" s="46">
        <f>SUM(F390:J390)</f>
        <v>0</v>
      </c>
      <c r="F390" s="46">
        <f t="shared" si="82"/>
        <v>0</v>
      </c>
      <c r="G390" s="46">
        <f t="shared" si="82"/>
        <v>0</v>
      </c>
      <c r="H390" s="46">
        <f t="shared" si="82"/>
        <v>0</v>
      </c>
      <c r="I390" s="46">
        <f t="shared" si="82"/>
        <v>0</v>
      </c>
      <c r="J390" s="46">
        <f t="shared" si="82"/>
        <v>0</v>
      </c>
      <c r="K390" s="61"/>
      <c r="L390" s="61"/>
      <c r="M390" s="61"/>
      <c r="N390" s="61"/>
      <c r="O390" s="61"/>
      <c r="P390" s="61"/>
      <c r="Q390" s="181"/>
      <c r="R390" s="28"/>
    </row>
    <row r="391" spans="1:18" ht="15" customHeight="1" x14ac:dyDescent="0.25">
      <c r="A391" s="166"/>
      <c r="B391" s="158"/>
      <c r="C391" s="158" t="s">
        <v>176</v>
      </c>
      <c r="D391" s="54" t="s">
        <v>9</v>
      </c>
      <c r="E391" s="46">
        <f t="shared" ref="E391:J391" si="83">SUM(E392:E396)</f>
        <v>70</v>
      </c>
      <c r="F391" s="46">
        <f t="shared" si="83"/>
        <v>70</v>
      </c>
      <c r="G391" s="46">
        <f t="shared" si="83"/>
        <v>0</v>
      </c>
      <c r="H391" s="46">
        <f t="shared" si="83"/>
        <v>0</v>
      </c>
      <c r="I391" s="46">
        <f t="shared" si="83"/>
        <v>0</v>
      </c>
      <c r="J391" s="46">
        <f t="shared" si="83"/>
        <v>0</v>
      </c>
      <c r="K391" s="61"/>
      <c r="L391" s="61"/>
      <c r="M391" s="61"/>
      <c r="N391" s="61"/>
      <c r="O391" s="61"/>
      <c r="P391" s="61"/>
      <c r="Q391" s="179" t="s">
        <v>233</v>
      </c>
      <c r="R391" s="28"/>
    </row>
    <row r="392" spans="1:18" x14ac:dyDescent="0.25">
      <c r="A392" s="167"/>
      <c r="B392" s="159"/>
      <c r="C392" s="159"/>
      <c r="D392" s="155" t="s">
        <v>10</v>
      </c>
      <c r="E392" s="156"/>
      <c r="F392" s="156"/>
      <c r="G392" s="156"/>
      <c r="H392" s="156"/>
      <c r="I392" s="156"/>
      <c r="J392" s="157"/>
      <c r="K392" s="61"/>
      <c r="L392" s="61"/>
      <c r="M392" s="61"/>
      <c r="N392" s="61"/>
      <c r="O392" s="61"/>
      <c r="P392" s="61"/>
      <c r="Q392" s="180"/>
      <c r="R392" s="28"/>
    </row>
    <row r="393" spans="1:18" x14ac:dyDescent="0.25">
      <c r="A393" s="167"/>
      <c r="B393" s="159"/>
      <c r="C393" s="159"/>
      <c r="D393" s="54" t="s">
        <v>11</v>
      </c>
      <c r="E393" s="46">
        <f>SUM(F393:J393)</f>
        <v>70</v>
      </c>
      <c r="F393" s="46">
        <v>70</v>
      </c>
      <c r="G393" s="46"/>
      <c r="H393" s="46"/>
      <c r="I393" s="46"/>
      <c r="J393" s="46"/>
      <c r="K393" s="61"/>
      <c r="L393" s="61"/>
      <c r="M393" s="61"/>
      <c r="N393" s="61"/>
      <c r="O393" s="61"/>
      <c r="P393" s="61"/>
      <c r="Q393" s="180"/>
      <c r="R393" s="28"/>
    </row>
    <row r="394" spans="1:18" x14ac:dyDescent="0.25">
      <c r="A394" s="167"/>
      <c r="B394" s="159"/>
      <c r="C394" s="159"/>
      <c r="D394" s="54" t="s">
        <v>12</v>
      </c>
      <c r="E394" s="46">
        <f>SUM(F394:J394)</f>
        <v>0</v>
      </c>
      <c r="F394" s="46"/>
      <c r="G394" s="46"/>
      <c r="H394" s="46"/>
      <c r="I394" s="46"/>
      <c r="J394" s="46"/>
      <c r="K394" s="61"/>
      <c r="L394" s="61"/>
      <c r="M394" s="61"/>
      <c r="N394" s="61"/>
      <c r="O394" s="61"/>
      <c r="P394" s="61"/>
      <c r="Q394" s="180"/>
      <c r="R394" s="28"/>
    </row>
    <row r="395" spans="1:18" x14ac:dyDescent="0.25">
      <c r="A395" s="167"/>
      <c r="B395" s="159"/>
      <c r="C395" s="159"/>
      <c r="D395" s="54" t="s">
        <v>13</v>
      </c>
      <c r="E395" s="46">
        <f>SUM(F395:J395)</f>
        <v>0</v>
      </c>
      <c r="F395" s="46"/>
      <c r="G395" s="46"/>
      <c r="H395" s="46"/>
      <c r="I395" s="46"/>
      <c r="J395" s="46"/>
      <c r="K395" s="61"/>
      <c r="L395" s="61"/>
      <c r="M395" s="61"/>
      <c r="N395" s="61"/>
      <c r="O395" s="61"/>
      <c r="P395" s="61"/>
      <c r="Q395" s="180"/>
      <c r="R395" s="28"/>
    </row>
    <row r="396" spans="1:18" x14ac:dyDescent="0.25">
      <c r="A396" s="168"/>
      <c r="B396" s="160"/>
      <c r="C396" s="160"/>
      <c r="D396" s="54" t="s">
        <v>14</v>
      </c>
      <c r="E396" s="46">
        <f>SUM(F396:J396)</f>
        <v>0</v>
      </c>
      <c r="F396" s="46"/>
      <c r="G396" s="46"/>
      <c r="H396" s="46"/>
      <c r="I396" s="46"/>
      <c r="J396" s="46"/>
      <c r="K396" s="61"/>
      <c r="L396" s="61"/>
      <c r="M396" s="61"/>
      <c r="N396" s="61"/>
      <c r="O396" s="61"/>
      <c r="P396" s="61"/>
      <c r="Q396" s="181"/>
      <c r="R396" s="28"/>
    </row>
    <row r="397" spans="1:18" ht="15" customHeight="1" x14ac:dyDescent="0.25">
      <c r="A397" s="166"/>
      <c r="B397" s="158"/>
      <c r="C397" s="158" t="s">
        <v>176</v>
      </c>
      <c r="D397" s="54" t="s">
        <v>9</v>
      </c>
      <c r="E397" s="46">
        <f t="shared" ref="E397:J397" si="84">SUM(E398:E402)</f>
        <v>1000</v>
      </c>
      <c r="F397" s="46">
        <f t="shared" si="84"/>
        <v>1000</v>
      </c>
      <c r="G397" s="46">
        <f t="shared" si="84"/>
        <v>0</v>
      </c>
      <c r="H397" s="46">
        <f t="shared" si="84"/>
        <v>0</v>
      </c>
      <c r="I397" s="46">
        <f t="shared" si="84"/>
        <v>0</v>
      </c>
      <c r="J397" s="46">
        <f t="shared" si="84"/>
        <v>0</v>
      </c>
      <c r="K397" s="61"/>
      <c r="L397" s="61"/>
      <c r="M397" s="61"/>
      <c r="N397" s="61"/>
      <c r="O397" s="61"/>
      <c r="P397" s="61"/>
      <c r="Q397" s="179" t="s">
        <v>80</v>
      </c>
      <c r="R397" s="28"/>
    </row>
    <row r="398" spans="1:18" x14ac:dyDescent="0.25">
      <c r="A398" s="167"/>
      <c r="B398" s="159"/>
      <c r="C398" s="159"/>
      <c r="D398" s="155" t="s">
        <v>10</v>
      </c>
      <c r="E398" s="156"/>
      <c r="F398" s="156"/>
      <c r="G398" s="156"/>
      <c r="H398" s="156"/>
      <c r="I398" s="156"/>
      <c r="J398" s="157"/>
      <c r="K398" s="61"/>
      <c r="L398" s="61"/>
      <c r="M398" s="61"/>
      <c r="N398" s="61"/>
      <c r="O398" s="61"/>
      <c r="P398" s="61"/>
      <c r="Q398" s="180"/>
      <c r="R398" s="28"/>
    </row>
    <row r="399" spans="1:18" x14ac:dyDescent="0.25">
      <c r="A399" s="167"/>
      <c r="B399" s="159"/>
      <c r="C399" s="159"/>
      <c r="D399" s="54" t="s">
        <v>11</v>
      </c>
      <c r="E399" s="46">
        <f>SUM(F399:J399)</f>
        <v>50</v>
      </c>
      <c r="F399" s="46">
        <v>50</v>
      </c>
      <c r="G399" s="46"/>
      <c r="H399" s="46"/>
      <c r="I399" s="46"/>
      <c r="J399" s="46"/>
      <c r="K399" s="61"/>
      <c r="L399" s="61"/>
      <c r="M399" s="61"/>
      <c r="N399" s="61"/>
      <c r="O399" s="61"/>
      <c r="P399" s="61"/>
      <c r="Q399" s="180"/>
      <c r="R399" s="28"/>
    </row>
    <row r="400" spans="1:18" x14ac:dyDescent="0.25">
      <c r="A400" s="167"/>
      <c r="B400" s="159"/>
      <c r="C400" s="159"/>
      <c r="D400" s="54" t="s">
        <v>12</v>
      </c>
      <c r="E400" s="46">
        <f>SUM(F400:J400)</f>
        <v>950</v>
      </c>
      <c r="F400" s="46">
        <v>950</v>
      </c>
      <c r="G400" s="46"/>
      <c r="H400" s="46"/>
      <c r="I400" s="46"/>
      <c r="J400" s="46"/>
      <c r="K400" s="61"/>
      <c r="L400" s="61"/>
      <c r="M400" s="61"/>
      <c r="N400" s="61"/>
      <c r="O400" s="61"/>
      <c r="P400" s="61"/>
      <c r="Q400" s="180"/>
      <c r="R400" s="28"/>
    </row>
    <row r="401" spans="1:18" x14ac:dyDescent="0.25">
      <c r="A401" s="167"/>
      <c r="B401" s="159"/>
      <c r="C401" s="159"/>
      <c r="D401" s="54" t="s">
        <v>13</v>
      </c>
      <c r="E401" s="46">
        <f>SUM(F401:J401)</f>
        <v>0</v>
      </c>
      <c r="F401" s="46"/>
      <c r="G401" s="46"/>
      <c r="H401" s="46"/>
      <c r="I401" s="46"/>
      <c r="J401" s="46"/>
      <c r="K401" s="61"/>
      <c r="L401" s="61"/>
      <c r="M401" s="61"/>
      <c r="N401" s="61"/>
      <c r="O401" s="61"/>
      <c r="P401" s="61"/>
      <c r="Q401" s="180"/>
      <c r="R401" s="28"/>
    </row>
    <row r="402" spans="1:18" x14ac:dyDescent="0.25">
      <c r="A402" s="168"/>
      <c r="B402" s="160"/>
      <c r="C402" s="160"/>
      <c r="D402" s="54" t="s">
        <v>14</v>
      </c>
      <c r="E402" s="46">
        <f>SUM(F402:J402)</f>
        <v>0</v>
      </c>
      <c r="F402" s="46"/>
      <c r="G402" s="46"/>
      <c r="H402" s="46"/>
      <c r="I402" s="46"/>
      <c r="J402" s="46"/>
      <c r="K402" s="61"/>
      <c r="L402" s="61"/>
      <c r="M402" s="61"/>
      <c r="N402" s="61"/>
      <c r="O402" s="61"/>
      <c r="P402" s="61"/>
      <c r="Q402" s="181"/>
      <c r="R402" s="28"/>
    </row>
    <row r="403" spans="1:18" ht="15" customHeight="1" x14ac:dyDescent="0.25">
      <c r="A403" s="166" t="s">
        <v>210</v>
      </c>
      <c r="B403" s="158" t="s">
        <v>198</v>
      </c>
      <c r="C403" s="158" t="s">
        <v>287</v>
      </c>
      <c r="D403" s="54" t="s">
        <v>9</v>
      </c>
      <c r="E403" s="46">
        <f t="shared" ref="E403:J403" si="85">SUM(E404:E408)</f>
        <v>350</v>
      </c>
      <c r="F403" s="46">
        <f t="shared" si="85"/>
        <v>0</v>
      </c>
      <c r="G403" s="46">
        <f t="shared" si="85"/>
        <v>150</v>
      </c>
      <c r="H403" s="46">
        <f t="shared" si="85"/>
        <v>0</v>
      </c>
      <c r="I403" s="46">
        <f t="shared" si="85"/>
        <v>0</v>
      </c>
      <c r="J403" s="46">
        <f t="shared" si="85"/>
        <v>200</v>
      </c>
      <c r="K403" s="61"/>
      <c r="L403" s="61"/>
      <c r="M403" s="61"/>
      <c r="N403" s="61"/>
      <c r="O403" s="61"/>
      <c r="P403" s="61"/>
      <c r="Q403" s="179" t="s">
        <v>277</v>
      </c>
      <c r="R403" s="28"/>
    </row>
    <row r="404" spans="1:18" x14ac:dyDescent="0.25">
      <c r="A404" s="167"/>
      <c r="B404" s="159"/>
      <c r="C404" s="159"/>
      <c r="D404" s="155" t="s">
        <v>10</v>
      </c>
      <c r="E404" s="156"/>
      <c r="F404" s="156"/>
      <c r="G404" s="156"/>
      <c r="H404" s="156"/>
      <c r="I404" s="156"/>
      <c r="J404" s="157"/>
      <c r="K404" s="61"/>
      <c r="L404" s="61"/>
      <c r="M404" s="61"/>
      <c r="N404" s="61"/>
      <c r="O404" s="61"/>
      <c r="P404" s="61"/>
      <c r="Q404" s="180"/>
      <c r="R404" s="28"/>
    </row>
    <row r="405" spans="1:18" x14ac:dyDescent="0.25">
      <c r="A405" s="167"/>
      <c r="B405" s="159"/>
      <c r="C405" s="159"/>
      <c r="D405" s="54" t="s">
        <v>11</v>
      </c>
      <c r="E405" s="46">
        <f>SUM(F405:J405)</f>
        <v>350</v>
      </c>
      <c r="F405" s="46">
        <f>F417+F423+F411</f>
        <v>0</v>
      </c>
      <c r="G405" s="46">
        <f t="shared" ref="G405:J405" si="86">G417+G423+G411</f>
        <v>150</v>
      </c>
      <c r="H405" s="46">
        <f t="shared" si="86"/>
        <v>0</v>
      </c>
      <c r="I405" s="46">
        <f t="shared" si="86"/>
        <v>0</v>
      </c>
      <c r="J405" s="46">
        <f t="shared" si="86"/>
        <v>200</v>
      </c>
      <c r="K405" s="61"/>
      <c r="L405" s="61"/>
      <c r="M405" s="61"/>
      <c r="N405" s="61"/>
      <c r="O405" s="61"/>
      <c r="P405" s="61"/>
      <c r="Q405" s="180"/>
      <c r="R405" s="28"/>
    </row>
    <row r="406" spans="1:18" x14ac:dyDescent="0.25">
      <c r="A406" s="167"/>
      <c r="B406" s="159"/>
      <c r="C406" s="159"/>
      <c r="D406" s="54" t="s">
        <v>12</v>
      </c>
      <c r="E406" s="46">
        <f>SUM(F406:J406)</f>
        <v>0</v>
      </c>
      <c r="F406" s="46">
        <f t="shared" ref="F406:J408" si="87">F418+F424+F412</f>
        <v>0</v>
      </c>
      <c r="G406" s="46">
        <f t="shared" si="87"/>
        <v>0</v>
      </c>
      <c r="H406" s="46">
        <f t="shared" si="87"/>
        <v>0</v>
      </c>
      <c r="I406" s="46">
        <f t="shared" si="87"/>
        <v>0</v>
      </c>
      <c r="J406" s="46">
        <f t="shared" si="87"/>
        <v>0</v>
      </c>
      <c r="K406" s="61"/>
      <c r="L406" s="61"/>
      <c r="M406" s="61"/>
      <c r="N406" s="61"/>
      <c r="O406" s="61"/>
      <c r="P406" s="61"/>
      <c r="Q406" s="180"/>
      <c r="R406" s="28"/>
    </row>
    <row r="407" spans="1:18" x14ac:dyDescent="0.25">
      <c r="A407" s="167"/>
      <c r="B407" s="159"/>
      <c r="C407" s="159"/>
      <c r="D407" s="54" t="s">
        <v>13</v>
      </c>
      <c r="E407" s="46">
        <f>SUM(F407:J407)</f>
        <v>0</v>
      </c>
      <c r="F407" s="46">
        <f t="shared" si="87"/>
        <v>0</v>
      </c>
      <c r="G407" s="46">
        <f t="shared" si="87"/>
        <v>0</v>
      </c>
      <c r="H407" s="46">
        <f t="shared" si="87"/>
        <v>0</v>
      </c>
      <c r="I407" s="46">
        <f t="shared" si="87"/>
        <v>0</v>
      </c>
      <c r="J407" s="46">
        <f t="shared" si="87"/>
        <v>0</v>
      </c>
      <c r="K407" s="61"/>
      <c r="L407" s="61"/>
      <c r="M407" s="61"/>
      <c r="N407" s="61"/>
      <c r="O407" s="61"/>
      <c r="P407" s="61"/>
      <c r="Q407" s="180"/>
      <c r="R407" s="28"/>
    </row>
    <row r="408" spans="1:18" x14ac:dyDescent="0.25">
      <c r="A408" s="168"/>
      <c r="B408" s="160"/>
      <c r="C408" s="160"/>
      <c r="D408" s="54" t="s">
        <v>14</v>
      </c>
      <c r="E408" s="46">
        <f>SUM(F408:J408)</f>
        <v>0</v>
      </c>
      <c r="F408" s="46">
        <f t="shared" si="87"/>
        <v>0</v>
      </c>
      <c r="G408" s="46">
        <f t="shared" si="87"/>
        <v>0</v>
      </c>
      <c r="H408" s="46">
        <f t="shared" si="87"/>
        <v>0</v>
      </c>
      <c r="I408" s="46">
        <f t="shared" si="87"/>
        <v>0</v>
      </c>
      <c r="J408" s="46">
        <f t="shared" si="87"/>
        <v>0</v>
      </c>
      <c r="K408" s="61"/>
      <c r="L408" s="61"/>
      <c r="M408" s="61"/>
      <c r="N408" s="61"/>
      <c r="O408" s="61"/>
      <c r="P408" s="61"/>
      <c r="Q408" s="181"/>
      <c r="R408" s="28"/>
    </row>
    <row r="409" spans="1:18" ht="15" customHeight="1" x14ac:dyDescent="0.25">
      <c r="A409" s="166"/>
      <c r="B409" s="158"/>
      <c r="C409" s="158" t="s">
        <v>165</v>
      </c>
      <c r="D409" s="54" t="s">
        <v>9</v>
      </c>
      <c r="E409" s="46">
        <f t="shared" ref="E409:J409" si="88">SUM(E410:E414)</f>
        <v>150</v>
      </c>
      <c r="F409" s="46">
        <f t="shared" si="88"/>
        <v>0</v>
      </c>
      <c r="G409" s="46">
        <f t="shared" si="88"/>
        <v>150</v>
      </c>
      <c r="H409" s="46">
        <f t="shared" si="88"/>
        <v>0</v>
      </c>
      <c r="I409" s="46">
        <f t="shared" si="88"/>
        <v>0</v>
      </c>
      <c r="J409" s="46">
        <f t="shared" si="88"/>
        <v>0</v>
      </c>
      <c r="K409" s="61"/>
      <c r="L409" s="61"/>
      <c r="M409" s="61"/>
      <c r="N409" s="61"/>
      <c r="O409" s="61"/>
      <c r="P409" s="61"/>
      <c r="Q409" s="179" t="s">
        <v>74</v>
      </c>
      <c r="R409" s="28"/>
    </row>
    <row r="410" spans="1:18" x14ac:dyDescent="0.25">
      <c r="A410" s="167"/>
      <c r="B410" s="159"/>
      <c r="C410" s="159"/>
      <c r="D410" s="155" t="s">
        <v>10</v>
      </c>
      <c r="E410" s="156"/>
      <c r="F410" s="156"/>
      <c r="G410" s="156"/>
      <c r="H410" s="156"/>
      <c r="I410" s="156"/>
      <c r="J410" s="157"/>
      <c r="K410" s="61"/>
      <c r="L410" s="61"/>
      <c r="M410" s="61"/>
      <c r="N410" s="61"/>
      <c r="O410" s="61"/>
      <c r="P410" s="61"/>
      <c r="Q410" s="180"/>
      <c r="R410" s="28"/>
    </row>
    <row r="411" spans="1:18" x14ac:dyDescent="0.25">
      <c r="A411" s="167"/>
      <c r="B411" s="159"/>
      <c r="C411" s="159"/>
      <c r="D411" s="54" t="s">
        <v>11</v>
      </c>
      <c r="E411" s="46">
        <f>SUM(F411:J411)</f>
        <v>150</v>
      </c>
      <c r="F411" s="46"/>
      <c r="G411" s="46">
        <v>150</v>
      </c>
      <c r="H411" s="46"/>
      <c r="I411" s="46"/>
      <c r="J411" s="46"/>
      <c r="K411" s="61"/>
      <c r="L411" s="61"/>
      <c r="M411" s="61"/>
      <c r="N411" s="61"/>
      <c r="O411" s="61"/>
      <c r="P411" s="61"/>
      <c r="Q411" s="180"/>
      <c r="R411" s="28"/>
    </row>
    <row r="412" spans="1:18" x14ac:dyDescent="0.25">
      <c r="A412" s="167"/>
      <c r="B412" s="159"/>
      <c r="C412" s="159"/>
      <c r="D412" s="54" t="s">
        <v>12</v>
      </c>
      <c r="E412" s="46">
        <f>SUM(F412:J412)</f>
        <v>0</v>
      </c>
      <c r="F412" s="46"/>
      <c r="G412" s="46"/>
      <c r="H412" s="46"/>
      <c r="I412" s="46"/>
      <c r="J412" s="46"/>
      <c r="K412" s="61"/>
      <c r="L412" s="61"/>
      <c r="M412" s="61"/>
      <c r="N412" s="61"/>
      <c r="O412" s="61"/>
      <c r="P412" s="61"/>
      <c r="Q412" s="180"/>
      <c r="R412" s="28"/>
    </row>
    <row r="413" spans="1:18" x14ac:dyDescent="0.25">
      <c r="A413" s="167"/>
      <c r="B413" s="159"/>
      <c r="C413" s="159"/>
      <c r="D413" s="54" t="s">
        <v>13</v>
      </c>
      <c r="E413" s="46">
        <f>SUM(F413:J413)</f>
        <v>0</v>
      </c>
      <c r="F413" s="46"/>
      <c r="G413" s="46"/>
      <c r="H413" s="46"/>
      <c r="I413" s="46"/>
      <c r="J413" s="46"/>
      <c r="K413" s="61"/>
      <c r="L413" s="61"/>
      <c r="M413" s="61"/>
      <c r="N413" s="61"/>
      <c r="O413" s="61"/>
      <c r="P413" s="61"/>
      <c r="Q413" s="180"/>
      <c r="R413" s="28"/>
    </row>
    <row r="414" spans="1:18" x14ac:dyDescent="0.25">
      <c r="A414" s="168"/>
      <c r="B414" s="160"/>
      <c r="C414" s="160"/>
      <c r="D414" s="54" t="s">
        <v>14</v>
      </c>
      <c r="E414" s="46">
        <f>SUM(F414:J414)</f>
        <v>0</v>
      </c>
      <c r="F414" s="46"/>
      <c r="G414" s="46"/>
      <c r="H414" s="46"/>
      <c r="I414" s="46"/>
      <c r="J414" s="46"/>
      <c r="K414" s="61"/>
      <c r="L414" s="61"/>
      <c r="M414" s="61"/>
      <c r="N414" s="61"/>
      <c r="O414" s="61"/>
      <c r="P414" s="61"/>
      <c r="Q414" s="181"/>
      <c r="R414" s="28"/>
    </row>
    <row r="415" spans="1:18" ht="15" hidden="1" customHeight="1" x14ac:dyDescent="0.3">
      <c r="A415" s="166"/>
      <c r="B415" s="158"/>
      <c r="C415" s="158" t="s">
        <v>167</v>
      </c>
      <c r="D415" s="54" t="s">
        <v>9</v>
      </c>
      <c r="E415" s="46">
        <f t="shared" ref="E415:J415" si="89">SUM(E416:E420)</f>
        <v>0</v>
      </c>
      <c r="F415" s="46">
        <f t="shared" si="89"/>
        <v>0</v>
      </c>
      <c r="G415" s="46">
        <f t="shared" si="89"/>
        <v>0</v>
      </c>
      <c r="H415" s="46">
        <f t="shared" si="89"/>
        <v>0</v>
      </c>
      <c r="I415" s="46">
        <f t="shared" si="89"/>
        <v>0</v>
      </c>
      <c r="J415" s="46">
        <f t="shared" si="89"/>
        <v>0</v>
      </c>
      <c r="K415" s="61"/>
      <c r="L415" s="61"/>
      <c r="M415" s="61"/>
      <c r="N415" s="61"/>
      <c r="O415" s="61"/>
      <c r="P415" s="61"/>
      <c r="Q415" s="179" t="s">
        <v>70</v>
      </c>
      <c r="R415" s="28"/>
    </row>
    <row r="416" spans="1:18" ht="14.45" hidden="1" x14ac:dyDescent="0.3">
      <c r="A416" s="167"/>
      <c r="B416" s="159"/>
      <c r="C416" s="159"/>
      <c r="D416" s="155" t="s">
        <v>10</v>
      </c>
      <c r="E416" s="156"/>
      <c r="F416" s="156"/>
      <c r="G416" s="156"/>
      <c r="H416" s="156"/>
      <c r="I416" s="156"/>
      <c r="J416" s="157"/>
      <c r="K416" s="61"/>
      <c r="L416" s="61"/>
      <c r="M416" s="61"/>
      <c r="N416" s="61"/>
      <c r="O416" s="61"/>
      <c r="P416" s="61"/>
      <c r="Q416" s="180"/>
      <c r="R416" s="28"/>
    </row>
    <row r="417" spans="1:18" ht="14.45" hidden="1" x14ac:dyDescent="0.3">
      <c r="A417" s="167"/>
      <c r="B417" s="159"/>
      <c r="C417" s="159"/>
      <c r="D417" s="54" t="s">
        <v>11</v>
      </c>
      <c r="E417" s="46">
        <f>SUM(F417:J417)</f>
        <v>0</v>
      </c>
      <c r="F417" s="46"/>
      <c r="G417" s="46"/>
      <c r="H417" s="46"/>
      <c r="I417" s="46"/>
      <c r="J417" s="46"/>
      <c r="K417" s="61"/>
      <c r="L417" s="61"/>
      <c r="M417" s="61"/>
      <c r="N417" s="61"/>
      <c r="O417" s="61"/>
      <c r="P417" s="61"/>
      <c r="Q417" s="180"/>
      <c r="R417" s="28"/>
    </row>
    <row r="418" spans="1:18" ht="14.45" hidden="1" x14ac:dyDescent="0.3">
      <c r="A418" s="167"/>
      <c r="B418" s="159"/>
      <c r="C418" s="159"/>
      <c r="D418" s="54" t="s">
        <v>12</v>
      </c>
      <c r="E418" s="46">
        <f>SUM(F418:J418)</f>
        <v>0</v>
      </c>
      <c r="F418" s="46"/>
      <c r="G418" s="46"/>
      <c r="H418" s="46"/>
      <c r="I418" s="46"/>
      <c r="J418" s="46"/>
      <c r="K418" s="61"/>
      <c r="L418" s="61"/>
      <c r="M418" s="61"/>
      <c r="N418" s="61"/>
      <c r="O418" s="61"/>
      <c r="P418" s="61"/>
      <c r="Q418" s="180"/>
      <c r="R418" s="28"/>
    </row>
    <row r="419" spans="1:18" ht="14.45" hidden="1" x14ac:dyDescent="0.3">
      <c r="A419" s="167"/>
      <c r="B419" s="159"/>
      <c r="C419" s="159"/>
      <c r="D419" s="54" t="s">
        <v>13</v>
      </c>
      <c r="E419" s="46">
        <f>SUM(F419:J419)</f>
        <v>0</v>
      </c>
      <c r="F419" s="46"/>
      <c r="G419" s="46"/>
      <c r="H419" s="46"/>
      <c r="I419" s="46"/>
      <c r="J419" s="46"/>
      <c r="K419" s="61"/>
      <c r="L419" s="61"/>
      <c r="M419" s="61"/>
      <c r="N419" s="61"/>
      <c r="O419" s="61"/>
      <c r="P419" s="61"/>
      <c r="Q419" s="180"/>
      <c r="R419" s="28"/>
    </row>
    <row r="420" spans="1:18" ht="14.45" hidden="1" x14ac:dyDescent="0.3">
      <c r="A420" s="168"/>
      <c r="B420" s="160"/>
      <c r="C420" s="160"/>
      <c r="D420" s="54" t="s">
        <v>14</v>
      </c>
      <c r="E420" s="46">
        <f>SUM(F420:J420)</f>
        <v>0</v>
      </c>
      <c r="F420" s="46"/>
      <c r="G420" s="46"/>
      <c r="H420" s="46"/>
      <c r="I420" s="46"/>
      <c r="J420" s="46"/>
      <c r="K420" s="61"/>
      <c r="L420" s="61"/>
      <c r="M420" s="61"/>
      <c r="N420" s="61"/>
      <c r="O420" s="61"/>
      <c r="P420" s="61"/>
      <c r="Q420" s="181"/>
      <c r="R420" s="28"/>
    </row>
    <row r="421" spans="1:18" ht="15" customHeight="1" x14ac:dyDescent="0.25">
      <c r="A421" s="166"/>
      <c r="B421" s="158"/>
      <c r="C421" s="158" t="s">
        <v>168</v>
      </c>
      <c r="D421" s="54" t="s">
        <v>9</v>
      </c>
      <c r="E421" s="46">
        <f t="shared" ref="E421:J421" si="90">SUM(E422:E426)</f>
        <v>200</v>
      </c>
      <c r="F421" s="46">
        <f t="shared" si="90"/>
        <v>0</v>
      </c>
      <c r="G421" s="46">
        <f t="shared" si="90"/>
        <v>0</v>
      </c>
      <c r="H421" s="46">
        <f t="shared" si="90"/>
        <v>0</v>
      </c>
      <c r="I421" s="46">
        <f t="shared" si="90"/>
        <v>0</v>
      </c>
      <c r="J421" s="46">
        <f t="shared" si="90"/>
        <v>200</v>
      </c>
      <c r="K421" s="61"/>
      <c r="L421" s="61"/>
      <c r="M421" s="61"/>
      <c r="N421" s="61"/>
      <c r="O421" s="61"/>
      <c r="P421" s="61"/>
      <c r="Q421" s="179" t="s">
        <v>80</v>
      </c>
      <c r="R421" s="28"/>
    </row>
    <row r="422" spans="1:18" x14ac:dyDescent="0.25">
      <c r="A422" s="167"/>
      <c r="B422" s="159"/>
      <c r="C422" s="159"/>
      <c r="D422" s="155" t="s">
        <v>10</v>
      </c>
      <c r="E422" s="156"/>
      <c r="F422" s="156"/>
      <c r="G422" s="156"/>
      <c r="H422" s="156"/>
      <c r="I422" s="156"/>
      <c r="J422" s="157"/>
      <c r="K422" s="61"/>
      <c r="L422" s="61"/>
      <c r="M422" s="61"/>
      <c r="N422" s="61"/>
      <c r="O422" s="61"/>
      <c r="P422" s="61"/>
      <c r="Q422" s="180"/>
      <c r="R422" s="28"/>
    </row>
    <row r="423" spans="1:18" x14ac:dyDescent="0.25">
      <c r="A423" s="167"/>
      <c r="B423" s="159"/>
      <c r="C423" s="159"/>
      <c r="D423" s="54" t="s">
        <v>11</v>
      </c>
      <c r="E423" s="46">
        <f>SUM(F423:J423)</f>
        <v>200</v>
      </c>
      <c r="F423" s="46"/>
      <c r="G423" s="46"/>
      <c r="H423" s="46"/>
      <c r="I423" s="46"/>
      <c r="J423" s="46">
        <v>200</v>
      </c>
      <c r="K423" s="61"/>
      <c r="L423" s="61"/>
      <c r="M423" s="61"/>
      <c r="N423" s="61"/>
      <c r="O423" s="61"/>
      <c r="P423" s="61"/>
      <c r="Q423" s="180"/>
      <c r="R423" s="28"/>
    </row>
    <row r="424" spans="1:18" x14ac:dyDescent="0.25">
      <c r="A424" s="167"/>
      <c r="B424" s="159"/>
      <c r="C424" s="159"/>
      <c r="D424" s="54" t="s">
        <v>12</v>
      </c>
      <c r="E424" s="46">
        <f>SUM(F424:J424)</f>
        <v>0</v>
      </c>
      <c r="F424" s="46"/>
      <c r="G424" s="46"/>
      <c r="H424" s="46"/>
      <c r="I424" s="46"/>
      <c r="J424" s="46"/>
      <c r="K424" s="61"/>
      <c r="L424" s="61"/>
      <c r="M424" s="61"/>
      <c r="N424" s="61"/>
      <c r="O424" s="61"/>
      <c r="P424" s="61"/>
      <c r="Q424" s="180"/>
      <c r="R424" s="28"/>
    </row>
    <row r="425" spans="1:18" x14ac:dyDescent="0.25">
      <c r="A425" s="167"/>
      <c r="B425" s="159"/>
      <c r="C425" s="159"/>
      <c r="D425" s="54" t="s">
        <v>13</v>
      </c>
      <c r="E425" s="46">
        <f>SUM(F425:J425)</f>
        <v>0</v>
      </c>
      <c r="F425" s="46"/>
      <c r="G425" s="46"/>
      <c r="H425" s="46"/>
      <c r="I425" s="46"/>
      <c r="J425" s="46"/>
      <c r="K425" s="61"/>
      <c r="L425" s="61"/>
      <c r="M425" s="61"/>
      <c r="N425" s="61"/>
      <c r="O425" s="61"/>
      <c r="P425" s="61"/>
      <c r="Q425" s="180"/>
      <c r="R425" s="28"/>
    </row>
    <row r="426" spans="1:18" x14ac:dyDescent="0.25">
      <c r="A426" s="168"/>
      <c r="B426" s="160"/>
      <c r="C426" s="160"/>
      <c r="D426" s="54" t="s">
        <v>14</v>
      </c>
      <c r="E426" s="46">
        <f>SUM(F426:J426)</f>
        <v>0</v>
      </c>
      <c r="F426" s="46"/>
      <c r="G426" s="46"/>
      <c r="H426" s="46"/>
      <c r="I426" s="46"/>
      <c r="J426" s="46"/>
      <c r="K426" s="61"/>
      <c r="L426" s="61"/>
      <c r="M426" s="61"/>
      <c r="N426" s="61"/>
      <c r="O426" s="61"/>
      <c r="P426" s="61"/>
      <c r="Q426" s="181"/>
      <c r="R426" s="28"/>
    </row>
    <row r="427" spans="1:18" ht="15" customHeight="1" x14ac:dyDescent="0.25">
      <c r="A427" s="166" t="s">
        <v>211</v>
      </c>
      <c r="B427" s="158" t="s">
        <v>203</v>
      </c>
      <c r="C427" s="158" t="s">
        <v>164</v>
      </c>
      <c r="D427" s="54" t="s">
        <v>9</v>
      </c>
      <c r="E427" s="46">
        <f t="shared" ref="E427:J427" si="91">SUM(E428:E432)</f>
        <v>300</v>
      </c>
      <c r="F427" s="46">
        <f t="shared" si="91"/>
        <v>300</v>
      </c>
      <c r="G427" s="46">
        <f t="shared" si="91"/>
        <v>0</v>
      </c>
      <c r="H427" s="46">
        <f t="shared" si="91"/>
        <v>0</v>
      </c>
      <c r="I427" s="46">
        <f t="shared" si="91"/>
        <v>0</v>
      </c>
      <c r="J427" s="46">
        <f t="shared" si="91"/>
        <v>0</v>
      </c>
      <c r="K427" s="61"/>
      <c r="L427" s="61"/>
      <c r="M427" s="61"/>
      <c r="N427" s="61"/>
      <c r="O427" s="61"/>
      <c r="P427" s="61"/>
      <c r="Q427" s="179" t="s">
        <v>80</v>
      </c>
      <c r="R427" s="28"/>
    </row>
    <row r="428" spans="1:18" x14ac:dyDescent="0.25">
      <c r="A428" s="167"/>
      <c r="B428" s="159"/>
      <c r="C428" s="159"/>
      <c r="D428" s="155" t="s">
        <v>10</v>
      </c>
      <c r="E428" s="156"/>
      <c r="F428" s="156"/>
      <c r="G428" s="156"/>
      <c r="H428" s="156"/>
      <c r="I428" s="156"/>
      <c r="J428" s="157"/>
      <c r="K428" s="61"/>
      <c r="L428" s="61"/>
      <c r="M428" s="61"/>
      <c r="N428" s="61"/>
      <c r="O428" s="61"/>
      <c r="P428" s="61"/>
      <c r="Q428" s="180"/>
      <c r="R428" s="28"/>
    </row>
    <row r="429" spans="1:18" x14ac:dyDescent="0.25">
      <c r="A429" s="167"/>
      <c r="B429" s="159"/>
      <c r="C429" s="159"/>
      <c r="D429" s="54" t="s">
        <v>11</v>
      </c>
      <c r="E429" s="46">
        <f>SUM(F429:J429)</f>
        <v>15</v>
      </c>
      <c r="F429" s="46">
        <v>15</v>
      </c>
      <c r="G429" s="46"/>
      <c r="H429" s="46"/>
      <c r="I429" s="46"/>
      <c r="J429" s="46"/>
      <c r="K429" s="61"/>
      <c r="L429" s="61"/>
      <c r="M429" s="61"/>
      <c r="N429" s="61"/>
      <c r="O429" s="61"/>
      <c r="P429" s="61"/>
      <c r="Q429" s="180"/>
      <c r="R429" s="28"/>
    </row>
    <row r="430" spans="1:18" x14ac:dyDescent="0.25">
      <c r="A430" s="167"/>
      <c r="B430" s="159"/>
      <c r="C430" s="159"/>
      <c r="D430" s="54" t="s">
        <v>12</v>
      </c>
      <c r="E430" s="46">
        <f>SUM(F430:J430)</f>
        <v>285</v>
      </c>
      <c r="F430" s="46">
        <v>285</v>
      </c>
      <c r="G430" s="46"/>
      <c r="H430" s="46"/>
      <c r="I430" s="46"/>
      <c r="J430" s="46"/>
      <c r="K430" s="61"/>
      <c r="L430" s="61"/>
      <c r="M430" s="61"/>
      <c r="N430" s="61"/>
      <c r="O430" s="61"/>
      <c r="P430" s="61"/>
      <c r="Q430" s="180"/>
      <c r="R430" s="28"/>
    </row>
    <row r="431" spans="1:18" x14ac:dyDescent="0.25">
      <c r="A431" s="167"/>
      <c r="B431" s="159"/>
      <c r="C431" s="159"/>
      <c r="D431" s="54" t="s">
        <v>13</v>
      </c>
      <c r="E431" s="46">
        <f>SUM(F431:J431)</f>
        <v>0</v>
      </c>
      <c r="F431" s="46"/>
      <c r="G431" s="46"/>
      <c r="H431" s="46"/>
      <c r="I431" s="46"/>
      <c r="J431" s="46"/>
      <c r="K431" s="61"/>
      <c r="L431" s="61"/>
      <c r="M431" s="61"/>
      <c r="N431" s="61"/>
      <c r="O431" s="61"/>
      <c r="P431" s="61"/>
      <c r="Q431" s="180"/>
      <c r="R431" s="28"/>
    </row>
    <row r="432" spans="1:18" x14ac:dyDescent="0.25">
      <c r="A432" s="168"/>
      <c r="B432" s="160"/>
      <c r="C432" s="160"/>
      <c r="D432" s="54" t="s">
        <v>14</v>
      </c>
      <c r="E432" s="46">
        <f>SUM(F432:J432)</f>
        <v>0</v>
      </c>
      <c r="F432" s="46"/>
      <c r="G432" s="46"/>
      <c r="H432" s="46"/>
      <c r="I432" s="46"/>
      <c r="J432" s="46"/>
      <c r="K432" s="61"/>
      <c r="L432" s="61"/>
      <c r="M432" s="61"/>
      <c r="N432" s="61"/>
      <c r="O432" s="61"/>
      <c r="P432" s="61"/>
      <c r="Q432" s="181"/>
      <c r="R432" s="28"/>
    </row>
    <row r="433" spans="1:18" ht="15" customHeight="1" x14ac:dyDescent="0.25">
      <c r="A433" s="166" t="s">
        <v>212</v>
      </c>
      <c r="B433" s="158" t="s">
        <v>184</v>
      </c>
      <c r="C433" s="158" t="s">
        <v>285</v>
      </c>
      <c r="D433" s="54" t="s">
        <v>9</v>
      </c>
      <c r="E433" s="46">
        <f t="shared" ref="E433:J433" si="92">SUM(E434:E438)</f>
        <v>573.04386999999997</v>
      </c>
      <c r="F433" s="46">
        <f t="shared" si="92"/>
        <v>336.91221999999999</v>
      </c>
      <c r="G433" s="46">
        <f t="shared" si="92"/>
        <v>236.13165000000001</v>
      </c>
      <c r="H433" s="46">
        <f t="shared" si="92"/>
        <v>0</v>
      </c>
      <c r="I433" s="46">
        <f t="shared" si="92"/>
        <v>0</v>
      </c>
      <c r="J433" s="46">
        <f t="shared" si="92"/>
        <v>0</v>
      </c>
      <c r="K433" s="61"/>
      <c r="L433" s="61"/>
      <c r="M433" s="61"/>
      <c r="N433" s="61"/>
      <c r="O433" s="61"/>
      <c r="P433" s="61"/>
      <c r="Q433" s="179" t="s">
        <v>278</v>
      </c>
      <c r="R433" s="28"/>
    </row>
    <row r="434" spans="1:18" x14ac:dyDescent="0.25">
      <c r="A434" s="167"/>
      <c r="B434" s="159"/>
      <c r="C434" s="159"/>
      <c r="D434" s="155" t="s">
        <v>10</v>
      </c>
      <c r="E434" s="156"/>
      <c r="F434" s="156"/>
      <c r="G434" s="156"/>
      <c r="H434" s="156"/>
      <c r="I434" s="156"/>
      <c r="J434" s="157"/>
      <c r="K434" s="61"/>
      <c r="L434" s="61"/>
      <c r="M434" s="61"/>
      <c r="N434" s="61"/>
      <c r="O434" s="61"/>
      <c r="P434" s="61"/>
      <c r="Q434" s="180"/>
      <c r="R434" s="28"/>
    </row>
    <row r="435" spans="1:18" x14ac:dyDescent="0.25">
      <c r="A435" s="167"/>
      <c r="B435" s="159"/>
      <c r="C435" s="159"/>
      <c r="D435" s="54" t="s">
        <v>11</v>
      </c>
      <c r="E435" s="46">
        <f>SUM(F435:J435)</f>
        <v>573.04386999999997</v>
      </c>
      <c r="F435" s="46">
        <f>F441+F447+F459+F453+F463</f>
        <v>336.91221999999999</v>
      </c>
      <c r="G435" s="46">
        <f t="shared" ref="G435:J435" si="93">G441+G447+G459+G453+G463</f>
        <v>236.13165000000001</v>
      </c>
      <c r="H435" s="46">
        <f t="shared" si="93"/>
        <v>0</v>
      </c>
      <c r="I435" s="46">
        <f t="shared" si="93"/>
        <v>0</v>
      </c>
      <c r="J435" s="46">
        <f t="shared" si="93"/>
        <v>0</v>
      </c>
      <c r="K435" s="61"/>
      <c r="L435" s="61"/>
      <c r="M435" s="61"/>
      <c r="N435" s="61"/>
      <c r="O435" s="61"/>
      <c r="P435" s="61"/>
      <c r="Q435" s="180"/>
      <c r="R435" s="28"/>
    </row>
    <row r="436" spans="1:18" x14ac:dyDescent="0.25">
      <c r="A436" s="167"/>
      <c r="B436" s="159"/>
      <c r="C436" s="159"/>
      <c r="D436" s="54" t="s">
        <v>12</v>
      </c>
      <c r="E436" s="46">
        <f>SUM(F436:J436)</f>
        <v>0</v>
      </c>
      <c r="F436" s="46">
        <f t="shared" ref="F436:J438" si="94">F442+F448+F460+F454</f>
        <v>0</v>
      </c>
      <c r="G436" s="46">
        <f t="shared" si="94"/>
        <v>0</v>
      </c>
      <c r="H436" s="46">
        <f t="shared" si="94"/>
        <v>0</v>
      </c>
      <c r="I436" s="46">
        <f t="shared" si="94"/>
        <v>0</v>
      </c>
      <c r="J436" s="46">
        <f t="shared" si="94"/>
        <v>0</v>
      </c>
      <c r="K436" s="61"/>
      <c r="L436" s="61"/>
      <c r="M436" s="61"/>
      <c r="N436" s="61"/>
      <c r="O436" s="61"/>
      <c r="P436" s="61"/>
      <c r="Q436" s="180"/>
      <c r="R436" s="28"/>
    </row>
    <row r="437" spans="1:18" x14ac:dyDescent="0.25">
      <c r="A437" s="167"/>
      <c r="B437" s="159"/>
      <c r="C437" s="159"/>
      <c r="D437" s="54" t="s">
        <v>13</v>
      </c>
      <c r="E437" s="46">
        <f>SUM(F437:J437)</f>
        <v>0</v>
      </c>
      <c r="F437" s="46">
        <f t="shared" si="94"/>
        <v>0</v>
      </c>
      <c r="G437" s="46">
        <f t="shared" si="94"/>
        <v>0</v>
      </c>
      <c r="H437" s="46">
        <f t="shared" si="94"/>
        <v>0</v>
      </c>
      <c r="I437" s="46">
        <f t="shared" si="94"/>
        <v>0</v>
      </c>
      <c r="J437" s="46">
        <f t="shared" si="94"/>
        <v>0</v>
      </c>
      <c r="K437" s="61"/>
      <c r="L437" s="61"/>
      <c r="M437" s="61"/>
      <c r="N437" s="61"/>
      <c r="O437" s="61"/>
      <c r="P437" s="61"/>
      <c r="Q437" s="180"/>
      <c r="R437" s="28"/>
    </row>
    <row r="438" spans="1:18" x14ac:dyDescent="0.25">
      <c r="A438" s="168"/>
      <c r="B438" s="160"/>
      <c r="C438" s="160"/>
      <c r="D438" s="54" t="s">
        <v>14</v>
      </c>
      <c r="E438" s="46">
        <f>SUM(F438:J438)</f>
        <v>0</v>
      </c>
      <c r="F438" s="46">
        <f t="shared" si="94"/>
        <v>0</v>
      </c>
      <c r="G438" s="46">
        <f t="shared" si="94"/>
        <v>0</v>
      </c>
      <c r="H438" s="46">
        <f t="shared" si="94"/>
        <v>0</v>
      </c>
      <c r="I438" s="46">
        <f t="shared" si="94"/>
        <v>0</v>
      </c>
      <c r="J438" s="46">
        <f t="shared" si="94"/>
        <v>0</v>
      </c>
      <c r="K438" s="61"/>
      <c r="L438" s="61"/>
      <c r="M438" s="61"/>
      <c r="N438" s="61"/>
      <c r="O438" s="61"/>
      <c r="P438" s="61"/>
      <c r="Q438" s="181"/>
      <c r="R438" s="28"/>
    </row>
    <row r="439" spans="1:18" ht="15" customHeight="1" x14ac:dyDescent="0.25">
      <c r="A439" s="166"/>
      <c r="B439" s="158"/>
      <c r="C439" s="158" t="s">
        <v>164</v>
      </c>
      <c r="D439" s="54" t="s">
        <v>9</v>
      </c>
      <c r="E439" s="46">
        <f t="shared" ref="E439:J439" si="95">SUM(E440:E444)</f>
        <v>126.91222</v>
      </c>
      <c r="F439" s="46">
        <f t="shared" si="95"/>
        <v>126.91222</v>
      </c>
      <c r="G439" s="46">
        <f t="shared" si="95"/>
        <v>0</v>
      </c>
      <c r="H439" s="46">
        <f t="shared" si="95"/>
        <v>0</v>
      </c>
      <c r="I439" s="46">
        <f t="shared" si="95"/>
        <v>0</v>
      </c>
      <c r="J439" s="46">
        <f t="shared" si="95"/>
        <v>0</v>
      </c>
      <c r="K439" s="61"/>
      <c r="L439" s="61"/>
      <c r="M439" s="61"/>
      <c r="N439" s="61"/>
      <c r="O439" s="61"/>
      <c r="P439" s="61"/>
      <c r="Q439" s="179" t="s">
        <v>68</v>
      </c>
      <c r="R439" s="28"/>
    </row>
    <row r="440" spans="1:18" x14ac:dyDescent="0.25">
      <c r="A440" s="167"/>
      <c r="B440" s="159"/>
      <c r="C440" s="159"/>
      <c r="D440" s="155" t="s">
        <v>10</v>
      </c>
      <c r="E440" s="156"/>
      <c r="F440" s="156"/>
      <c r="G440" s="156"/>
      <c r="H440" s="156"/>
      <c r="I440" s="156"/>
      <c r="J440" s="157"/>
      <c r="K440" s="61"/>
      <c r="L440" s="61"/>
      <c r="M440" s="61"/>
      <c r="N440" s="61"/>
      <c r="O440" s="61"/>
      <c r="P440" s="61"/>
      <c r="Q440" s="180"/>
      <c r="R440" s="28"/>
    </row>
    <row r="441" spans="1:18" x14ac:dyDescent="0.25">
      <c r="A441" s="167"/>
      <c r="B441" s="159"/>
      <c r="C441" s="159"/>
      <c r="D441" s="54" t="s">
        <v>11</v>
      </c>
      <c r="E441" s="46">
        <f>SUM(F441:J441)</f>
        <v>126.91222</v>
      </c>
      <c r="F441" s="46">
        <v>126.91222</v>
      </c>
      <c r="G441" s="46"/>
      <c r="H441" s="46"/>
      <c r="I441" s="46"/>
      <c r="J441" s="46"/>
      <c r="K441" s="61"/>
      <c r="L441" s="61"/>
      <c r="M441" s="61"/>
      <c r="N441" s="61"/>
      <c r="O441" s="61"/>
      <c r="P441" s="61"/>
      <c r="Q441" s="180"/>
      <c r="R441" s="28"/>
    </row>
    <row r="442" spans="1:18" x14ac:dyDescent="0.25">
      <c r="A442" s="167"/>
      <c r="B442" s="159"/>
      <c r="C442" s="159"/>
      <c r="D442" s="54" t="s">
        <v>12</v>
      </c>
      <c r="E442" s="46">
        <f>SUM(F442:J442)</f>
        <v>0</v>
      </c>
      <c r="F442" s="46"/>
      <c r="G442" s="46"/>
      <c r="H442" s="46"/>
      <c r="I442" s="46"/>
      <c r="J442" s="46"/>
      <c r="K442" s="61"/>
      <c r="L442" s="61"/>
      <c r="M442" s="61"/>
      <c r="N442" s="61"/>
      <c r="O442" s="61"/>
      <c r="P442" s="61"/>
      <c r="Q442" s="180"/>
      <c r="R442" s="28"/>
    </row>
    <row r="443" spans="1:18" x14ac:dyDescent="0.25">
      <c r="A443" s="167"/>
      <c r="B443" s="159"/>
      <c r="C443" s="159"/>
      <c r="D443" s="54" t="s">
        <v>13</v>
      </c>
      <c r="E443" s="46">
        <f>SUM(F443:J443)</f>
        <v>0</v>
      </c>
      <c r="F443" s="46"/>
      <c r="G443" s="46"/>
      <c r="H443" s="46"/>
      <c r="I443" s="46"/>
      <c r="J443" s="46"/>
      <c r="K443" s="61"/>
      <c r="L443" s="61"/>
      <c r="M443" s="61"/>
      <c r="N443" s="61"/>
      <c r="O443" s="61"/>
      <c r="P443" s="61"/>
      <c r="Q443" s="180"/>
      <c r="R443" s="28"/>
    </row>
    <row r="444" spans="1:18" x14ac:dyDescent="0.25">
      <c r="A444" s="168"/>
      <c r="B444" s="160"/>
      <c r="C444" s="160"/>
      <c r="D444" s="54" t="s">
        <v>14</v>
      </c>
      <c r="E444" s="46">
        <f>SUM(F444:J444)</f>
        <v>0</v>
      </c>
      <c r="F444" s="46"/>
      <c r="G444" s="46"/>
      <c r="H444" s="46"/>
      <c r="I444" s="46"/>
      <c r="J444" s="46"/>
      <c r="K444" s="61"/>
      <c r="L444" s="61"/>
      <c r="M444" s="61"/>
      <c r="N444" s="61"/>
      <c r="O444" s="61"/>
      <c r="P444" s="61"/>
      <c r="Q444" s="181"/>
      <c r="R444" s="28"/>
    </row>
    <row r="445" spans="1:18" ht="15" customHeight="1" x14ac:dyDescent="0.25">
      <c r="A445" s="166"/>
      <c r="B445" s="158"/>
      <c r="C445" s="158" t="s">
        <v>164</v>
      </c>
      <c r="D445" s="54" t="s">
        <v>9</v>
      </c>
      <c r="E445" s="46">
        <f t="shared" ref="E445:J445" si="96">SUM(E446:E450)</f>
        <v>160</v>
      </c>
      <c r="F445" s="46">
        <f t="shared" si="96"/>
        <v>160</v>
      </c>
      <c r="G445" s="46">
        <f t="shared" si="96"/>
        <v>0</v>
      </c>
      <c r="H445" s="46">
        <f t="shared" si="96"/>
        <v>0</v>
      </c>
      <c r="I445" s="46">
        <f t="shared" si="96"/>
        <v>0</v>
      </c>
      <c r="J445" s="46">
        <f t="shared" si="96"/>
        <v>0</v>
      </c>
      <c r="K445" s="61"/>
      <c r="L445" s="61"/>
      <c r="M445" s="61"/>
      <c r="N445" s="61"/>
      <c r="O445" s="61"/>
      <c r="P445" s="61"/>
      <c r="Q445" s="179" t="s">
        <v>73</v>
      </c>
      <c r="R445" s="28"/>
    </row>
    <row r="446" spans="1:18" x14ac:dyDescent="0.25">
      <c r="A446" s="167"/>
      <c r="B446" s="159"/>
      <c r="C446" s="159"/>
      <c r="D446" s="155" t="s">
        <v>10</v>
      </c>
      <c r="E446" s="156"/>
      <c r="F446" s="156"/>
      <c r="G446" s="156"/>
      <c r="H446" s="156"/>
      <c r="I446" s="156"/>
      <c r="J446" s="157"/>
      <c r="K446" s="61"/>
      <c r="L446" s="61"/>
      <c r="M446" s="61"/>
      <c r="N446" s="61"/>
      <c r="O446" s="61"/>
      <c r="P446" s="61"/>
      <c r="Q446" s="180"/>
      <c r="R446" s="28"/>
    </row>
    <row r="447" spans="1:18" x14ac:dyDescent="0.25">
      <c r="A447" s="167"/>
      <c r="B447" s="159"/>
      <c r="C447" s="159"/>
      <c r="D447" s="54" t="s">
        <v>11</v>
      </c>
      <c r="E447" s="46">
        <f>SUM(F447:J447)</f>
        <v>160</v>
      </c>
      <c r="F447" s="46">
        <v>160</v>
      </c>
      <c r="G447" s="46"/>
      <c r="H447" s="46"/>
      <c r="I447" s="46"/>
      <c r="J447" s="46"/>
      <c r="K447" s="61"/>
      <c r="L447" s="61"/>
      <c r="M447" s="61"/>
      <c r="N447" s="61"/>
      <c r="O447" s="61"/>
      <c r="P447" s="61"/>
      <c r="Q447" s="180"/>
      <c r="R447" s="28"/>
    </row>
    <row r="448" spans="1:18" x14ac:dyDescent="0.25">
      <c r="A448" s="167"/>
      <c r="B448" s="159"/>
      <c r="C448" s="159"/>
      <c r="D448" s="54" t="s">
        <v>12</v>
      </c>
      <c r="E448" s="46">
        <f>SUM(F448:J448)</f>
        <v>0</v>
      </c>
      <c r="F448" s="46"/>
      <c r="G448" s="46"/>
      <c r="H448" s="46"/>
      <c r="I448" s="46"/>
      <c r="J448" s="46"/>
      <c r="K448" s="61"/>
      <c r="L448" s="61"/>
      <c r="M448" s="61"/>
      <c r="N448" s="61"/>
      <c r="O448" s="61"/>
      <c r="P448" s="61"/>
      <c r="Q448" s="180"/>
      <c r="R448" s="28"/>
    </row>
    <row r="449" spans="1:18" x14ac:dyDescent="0.25">
      <c r="A449" s="167"/>
      <c r="B449" s="159"/>
      <c r="C449" s="159"/>
      <c r="D449" s="54" t="s">
        <v>13</v>
      </c>
      <c r="E449" s="46">
        <f>SUM(F449:J449)</f>
        <v>0</v>
      </c>
      <c r="F449" s="46"/>
      <c r="G449" s="46"/>
      <c r="H449" s="46"/>
      <c r="I449" s="46"/>
      <c r="J449" s="46"/>
      <c r="K449" s="61"/>
      <c r="L449" s="61"/>
      <c r="M449" s="61"/>
      <c r="N449" s="61"/>
      <c r="O449" s="61"/>
      <c r="P449" s="61"/>
      <c r="Q449" s="180"/>
      <c r="R449" s="28"/>
    </row>
    <row r="450" spans="1:18" x14ac:dyDescent="0.25">
      <c r="A450" s="168"/>
      <c r="B450" s="160"/>
      <c r="C450" s="160"/>
      <c r="D450" s="54" t="s">
        <v>14</v>
      </c>
      <c r="E450" s="46">
        <f>SUM(F450:J450)</f>
        <v>0</v>
      </c>
      <c r="F450" s="46"/>
      <c r="G450" s="46"/>
      <c r="H450" s="46"/>
      <c r="I450" s="46"/>
      <c r="J450" s="46"/>
      <c r="K450" s="61"/>
      <c r="L450" s="61"/>
      <c r="M450" s="61"/>
      <c r="N450" s="61"/>
      <c r="O450" s="61"/>
      <c r="P450" s="61"/>
      <c r="Q450" s="181"/>
      <c r="R450" s="28"/>
    </row>
    <row r="451" spans="1:18" ht="15" customHeight="1" x14ac:dyDescent="0.25">
      <c r="A451" s="166"/>
      <c r="B451" s="158"/>
      <c r="C451" s="158" t="s">
        <v>165</v>
      </c>
      <c r="D451" s="54" t="s">
        <v>9</v>
      </c>
      <c r="E451" s="46">
        <f t="shared" ref="E451:J451" si="97">SUM(E452:E456)</f>
        <v>60</v>
      </c>
      <c r="F451" s="46">
        <f t="shared" si="97"/>
        <v>0</v>
      </c>
      <c r="G451" s="46">
        <f t="shared" si="97"/>
        <v>60</v>
      </c>
      <c r="H451" s="46">
        <f t="shared" si="97"/>
        <v>0</v>
      </c>
      <c r="I451" s="46">
        <f t="shared" si="97"/>
        <v>0</v>
      </c>
      <c r="J451" s="46">
        <f t="shared" si="97"/>
        <v>0</v>
      </c>
      <c r="K451" s="61"/>
      <c r="L451" s="61"/>
      <c r="M451" s="61"/>
      <c r="N451" s="61"/>
      <c r="O451" s="61"/>
      <c r="P451" s="61"/>
      <c r="Q451" s="179" t="s">
        <v>74</v>
      </c>
      <c r="R451" s="28"/>
    </row>
    <row r="452" spans="1:18" x14ac:dyDescent="0.25">
      <c r="A452" s="167"/>
      <c r="B452" s="159"/>
      <c r="C452" s="159"/>
      <c r="D452" s="155" t="s">
        <v>10</v>
      </c>
      <c r="E452" s="156"/>
      <c r="F452" s="156"/>
      <c r="G452" s="156"/>
      <c r="H452" s="156"/>
      <c r="I452" s="156"/>
      <c r="J452" s="157"/>
      <c r="K452" s="61"/>
      <c r="L452" s="61"/>
      <c r="M452" s="61"/>
      <c r="N452" s="61"/>
      <c r="O452" s="61"/>
      <c r="P452" s="61"/>
      <c r="Q452" s="180"/>
      <c r="R452" s="28"/>
    </row>
    <row r="453" spans="1:18" x14ac:dyDescent="0.25">
      <c r="A453" s="167"/>
      <c r="B453" s="159"/>
      <c r="C453" s="159"/>
      <c r="D453" s="54" t="s">
        <v>11</v>
      </c>
      <c r="E453" s="46">
        <f>SUM(F453:J453)</f>
        <v>60</v>
      </c>
      <c r="F453" s="46"/>
      <c r="G453" s="46">
        <v>60</v>
      </c>
      <c r="H453" s="46"/>
      <c r="I453" s="46"/>
      <c r="J453" s="46"/>
      <c r="K453" s="61"/>
      <c r="L453" s="61"/>
      <c r="M453" s="61"/>
      <c r="N453" s="61"/>
      <c r="O453" s="61"/>
      <c r="P453" s="61"/>
      <c r="Q453" s="180"/>
      <c r="R453" s="28"/>
    </row>
    <row r="454" spans="1:18" x14ac:dyDescent="0.25">
      <c r="A454" s="167"/>
      <c r="B454" s="159"/>
      <c r="C454" s="159"/>
      <c r="D454" s="54" t="s">
        <v>12</v>
      </c>
      <c r="E454" s="46">
        <f>SUM(F454:J454)</f>
        <v>0</v>
      </c>
      <c r="F454" s="46"/>
      <c r="G454" s="46"/>
      <c r="H454" s="46"/>
      <c r="I454" s="46"/>
      <c r="J454" s="46"/>
      <c r="K454" s="61"/>
      <c r="L454" s="61"/>
      <c r="M454" s="61"/>
      <c r="N454" s="61"/>
      <c r="O454" s="61"/>
      <c r="P454" s="61"/>
      <c r="Q454" s="180"/>
      <c r="R454" s="28"/>
    </row>
    <row r="455" spans="1:18" x14ac:dyDescent="0.25">
      <c r="A455" s="167"/>
      <c r="B455" s="159"/>
      <c r="C455" s="159"/>
      <c r="D455" s="54" t="s">
        <v>13</v>
      </c>
      <c r="E455" s="46">
        <f>SUM(F455:J455)</f>
        <v>0</v>
      </c>
      <c r="F455" s="46"/>
      <c r="G455" s="46"/>
      <c r="H455" s="46"/>
      <c r="I455" s="46"/>
      <c r="J455" s="46"/>
      <c r="K455" s="61"/>
      <c r="L455" s="61"/>
      <c r="M455" s="61"/>
      <c r="N455" s="61"/>
      <c r="O455" s="61"/>
      <c r="P455" s="61"/>
      <c r="Q455" s="180"/>
      <c r="R455" s="28"/>
    </row>
    <row r="456" spans="1:18" x14ac:dyDescent="0.25">
      <c r="A456" s="168"/>
      <c r="B456" s="160"/>
      <c r="C456" s="160"/>
      <c r="D456" s="54" t="s">
        <v>14</v>
      </c>
      <c r="E456" s="46">
        <f>SUM(F456:J456)</f>
        <v>0</v>
      </c>
      <c r="F456" s="46"/>
      <c r="G456" s="46"/>
      <c r="H456" s="46"/>
      <c r="I456" s="46"/>
      <c r="J456" s="46"/>
      <c r="K456" s="61"/>
      <c r="L456" s="61"/>
      <c r="M456" s="61"/>
      <c r="N456" s="61"/>
      <c r="O456" s="61"/>
      <c r="P456" s="61"/>
      <c r="Q456" s="181"/>
      <c r="R456" s="28"/>
    </row>
    <row r="457" spans="1:18" ht="15" customHeight="1" x14ac:dyDescent="0.25">
      <c r="A457" s="166"/>
      <c r="B457" s="158"/>
      <c r="C457" s="158" t="s">
        <v>285</v>
      </c>
      <c r="D457" s="54" t="s">
        <v>9</v>
      </c>
      <c r="E457" s="46">
        <f t="shared" ref="E457:J457" si="98">SUM(E458:E462)</f>
        <v>91.4</v>
      </c>
      <c r="F457" s="46">
        <f t="shared" si="98"/>
        <v>50</v>
      </c>
      <c r="G457" s="46">
        <f t="shared" si="98"/>
        <v>41.4</v>
      </c>
      <c r="H457" s="46">
        <f t="shared" si="98"/>
        <v>0</v>
      </c>
      <c r="I457" s="46">
        <f t="shared" si="98"/>
        <v>0</v>
      </c>
      <c r="J457" s="46">
        <f t="shared" si="98"/>
        <v>0</v>
      </c>
      <c r="K457" s="61"/>
      <c r="L457" s="61"/>
      <c r="M457" s="61"/>
      <c r="N457" s="61"/>
      <c r="O457" s="61"/>
      <c r="P457" s="61"/>
      <c r="Q457" s="179" t="s">
        <v>233</v>
      </c>
      <c r="R457" s="28"/>
    </row>
    <row r="458" spans="1:18" x14ac:dyDescent="0.25">
      <c r="A458" s="167"/>
      <c r="B458" s="159"/>
      <c r="C458" s="159"/>
      <c r="D458" s="155" t="s">
        <v>10</v>
      </c>
      <c r="E458" s="156"/>
      <c r="F458" s="156"/>
      <c r="G458" s="156"/>
      <c r="H458" s="156"/>
      <c r="I458" s="156"/>
      <c r="J458" s="157"/>
      <c r="K458" s="61"/>
      <c r="L458" s="61"/>
      <c r="M458" s="61"/>
      <c r="N458" s="61"/>
      <c r="O458" s="61"/>
      <c r="P458" s="61"/>
      <c r="Q458" s="180"/>
      <c r="R458" s="28"/>
    </row>
    <row r="459" spans="1:18" x14ac:dyDescent="0.25">
      <c r="A459" s="167"/>
      <c r="B459" s="159"/>
      <c r="C459" s="159"/>
      <c r="D459" s="54" t="s">
        <v>11</v>
      </c>
      <c r="E459" s="46">
        <f>SUM(F459:J459)</f>
        <v>91.4</v>
      </c>
      <c r="F459" s="46">
        <v>50</v>
      </c>
      <c r="G459" s="46">
        <v>41.4</v>
      </c>
      <c r="H459" s="46"/>
      <c r="I459" s="46"/>
      <c r="J459" s="46"/>
      <c r="K459" s="61"/>
      <c r="L459" s="61"/>
      <c r="M459" s="61"/>
      <c r="N459" s="61"/>
      <c r="O459" s="61"/>
      <c r="P459" s="61"/>
      <c r="Q459" s="180"/>
      <c r="R459" s="28"/>
    </row>
    <row r="460" spans="1:18" x14ac:dyDescent="0.25">
      <c r="A460" s="167"/>
      <c r="B460" s="159"/>
      <c r="C460" s="159"/>
      <c r="D460" s="54" t="s">
        <v>12</v>
      </c>
      <c r="E460" s="46">
        <f>SUM(F460:J460)</f>
        <v>0</v>
      </c>
      <c r="F460" s="46"/>
      <c r="G460" s="46"/>
      <c r="H460" s="46"/>
      <c r="I460" s="46"/>
      <c r="J460" s="46"/>
      <c r="K460" s="61"/>
      <c r="L460" s="61"/>
      <c r="M460" s="61"/>
      <c r="N460" s="61"/>
      <c r="O460" s="61"/>
      <c r="P460" s="61"/>
      <c r="Q460" s="180"/>
      <c r="R460" s="28"/>
    </row>
    <row r="461" spans="1:18" x14ac:dyDescent="0.25">
      <c r="A461" s="167"/>
      <c r="B461" s="159"/>
      <c r="C461" s="159"/>
      <c r="D461" s="54" t="s">
        <v>13</v>
      </c>
      <c r="E461" s="46">
        <f>SUM(F461:J461)</f>
        <v>0</v>
      </c>
      <c r="F461" s="46"/>
      <c r="G461" s="46"/>
      <c r="H461" s="46"/>
      <c r="I461" s="46"/>
      <c r="J461" s="46"/>
      <c r="K461" s="61"/>
      <c r="L461" s="61"/>
      <c r="M461" s="61"/>
      <c r="N461" s="61"/>
      <c r="O461" s="61"/>
      <c r="P461" s="61"/>
      <c r="Q461" s="180"/>
      <c r="R461" s="28"/>
    </row>
    <row r="462" spans="1:18" x14ac:dyDescent="0.25">
      <c r="A462" s="168"/>
      <c r="B462" s="160"/>
      <c r="C462" s="160"/>
      <c r="D462" s="54" t="s">
        <v>14</v>
      </c>
      <c r="E462" s="46">
        <f>SUM(F462:J462)</f>
        <v>0</v>
      </c>
      <c r="F462" s="46"/>
      <c r="G462" s="46"/>
      <c r="H462" s="46"/>
      <c r="I462" s="46"/>
      <c r="J462" s="46"/>
      <c r="K462" s="61"/>
      <c r="L462" s="61"/>
      <c r="M462" s="61"/>
      <c r="N462" s="61"/>
      <c r="O462" s="61"/>
      <c r="P462" s="61"/>
      <c r="Q462" s="181"/>
      <c r="R462" s="28"/>
    </row>
    <row r="463" spans="1:18" x14ac:dyDescent="0.25">
      <c r="A463" s="166"/>
      <c r="B463" s="158"/>
      <c r="C463" s="158" t="s">
        <v>165</v>
      </c>
      <c r="D463" s="54" t="s">
        <v>9</v>
      </c>
      <c r="E463" s="46">
        <f t="shared" ref="E463:J463" si="99">SUM(E464:E468)</f>
        <v>134.73165</v>
      </c>
      <c r="F463" s="46">
        <f t="shared" si="99"/>
        <v>0</v>
      </c>
      <c r="G463" s="46">
        <f t="shared" si="99"/>
        <v>134.73165</v>
      </c>
      <c r="H463" s="46">
        <f t="shared" si="99"/>
        <v>0</v>
      </c>
      <c r="I463" s="46">
        <f t="shared" si="99"/>
        <v>0</v>
      </c>
      <c r="J463" s="46">
        <f t="shared" si="99"/>
        <v>0</v>
      </c>
      <c r="K463" s="61"/>
      <c r="L463" s="61"/>
      <c r="M463" s="61"/>
      <c r="N463" s="61"/>
      <c r="O463" s="61"/>
      <c r="P463" s="61"/>
      <c r="Q463" s="179" t="s">
        <v>300</v>
      </c>
      <c r="R463" s="28"/>
    </row>
    <row r="464" spans="1:18" x14ac:dyDescent="0.25">
      <c r="A464" s="167"/>
      <c r="B464" s="159"/>
      <c r="C464" s="159"/>
      <c r="D464" s="155" t="s">
        <v>10</v>
      </c>
      <c r="E464" s="156"/>
      <c r="F464" s="156"/>
      <c r="G464" s="156"/>
      <c r="H464" s="156"/>
      <c r="I464" s="156"/>
      <c r="J464" s="157"/>
      <c r="K464" s="61"/>
      <c r="L464" s="61"/>
      <c r="M464" s="61"/>
      <c r="N464" s="61"/>
      <c r="O464" s="61"/>
      <c r="P464" s="61"/>
      <c r="Q464" s="180"/>
      <c r="R464" s="28"/>
    </row>
    <row r="465" spans="1:18" x14ac:dyDescent="0.25">
      <c r="A465" s="167"/>
      <c r="B465" s="159"/>
      <c r="C465" s="159"/>
      <c r="D465" s="54" t="s">
        <v>11</v>
      </c>
      <c r="E465" s="46">
        <f>SUM(F465:J465)</f>
        <v>6.73665</v>
      </c>
      <c r="F465" s="46"/>
      <c r="G465" s="46">
        <v>6.73665</v>
      </c>
      <c r="H465" s="46"/>
      <c r="I465" s="46"/>
      <c r="J465" s="46"/>
      <c r="K465" s="61"/>
      <c r="L465" s="61"/>
      <c r="M465" s="61"/>
      <c r="N465" s="61"/>
      <c r="O465" s="61"/>
      <c r="P465" s="61"/>
      <c r="Q465" s="180"/>
      <c r="R465" s="28"/>
    </row>
    <row r="466" spans="1:18" x14ac:dyDescent="0.25">
      <c r="A466" s="167"/>
      <c r="B466" s="159"/>
      <c r="C466" s="159"/>
      <c r="D466" s="54" t="s">
        <v>12</v>
      </c>
      <c r="E466" s="46">
        <f>SUM(F466:J466)</f>
        <v>127.995</v>
      </c>
      <c r="F466" s="46"/>
      <c r="G466" s="46">
        <v>127.995</v>
      </c>
      <c r="H466" s="46"/>
      <c r="I466" s="46"/>
      <c r="J466" s="46"/>
      <c r="K466" s="61"/>
      <c r="L466" s="61"/>
      <c r="M466" s="61"/>
      <c r="N466" s="61"/>
      <c r="O466" s="61"/>
      <c r="P466" s="61"/>
      <c r="Q466" s="180"/>
      <c r="R466" s="28"/>
    </row>
    <row r="467" spans="1:18" x14ac:dyDescent="0.25">
      <c r="A467" s="167"/>
      <c r="B467" s="159"/>
      <c r="C467" s="159"/>
      <c r="D467" s="54" t="s">
        <v>13</v>
      </c>
      <c r="E467" s="46">
        <f>SUM(F467:J467)</f>
        <v>0</v>
      </c>
      <c r="F467" s="46"/>
      <c r="G467" s="46"/>
      <c r="H467" s="46"/>
      <c r="I467" s="46"/>
      <c r="J467" s="46"/>
      <c r="K467" s="61"/>
      <c r="L467" s="61"/>
      <c r="M467" s="61"/>
      <c r="N467" s="61"/>
      <c r="O467" s="61"/>
      <c r="P467" s="61"/>
      <c r="Q467" s="180"/>
      <c r="R467" s="28"/>
    </row>
    <row r="468" spans="1:18" x14ac:dyDescent="0.25">
      <c r="A468" s="168"/>
      <c r="B468" s="160"/>
      <c r="C468" s="160"/>
      <c r="D468" s="54" t="s">
        <v>14</v>
      </c>
      <c r="E468" s="46">
        <f>SUM(F468:J468)</f>
        <v>0</v>
      </c>
      <c r="F468" s="46"/>
      <c r="G468" s="46"/>
      <c r="H468" s="46"/>
      <c r="I468" s="46"/>
      <c r="J468" s="46"/>
      <c r="K468" s="61"/>
      <c r="L468" s="61"/>
      <c r="M468" s="61"/>
      <c r="N468" s="61"/>
      <c r="O468" s="61"/>
      <c r="P468" s="61"/>
      <c r="Q468" s="181"/>
      <c r="R468" s="28"/>
    </row>
    <row r="469" spans="1:18" ht="15" customHeight="1" x14ac:dyDescent="0.25">
      <c r="A469" s="166" t="s">
        <v>213</v>
      </c>
      <c r="B469" s="158" t="s">
        <v>204</v>
      </c>
      <c r="C469" s="158" t="s">
        <v>164</v>
      </c>
      <c r="D469" s="54" t="s">
        <v>9</v>
      </c>
      <c r="E469" s="46">
        <f t="shared" ref="E469:J469" si="100">SUM(E470:E474)</f>
        <v>2469.2081399999997</v>
      </c>
      <c r="F469" s="46">
        <f t="shared" si="100"/>
        <v>2469.2081399999997</v>
      </c>
      <c r="G469" s="46">
        <f t="shared" si="100"/>
        <v>0</v>
      </c>
      <c r="H469" s="46">
        <f t="shared" si="100"/>
        <v>0</v>
      </c>
      <c r="I469" s="46">
        <f t="shared" si="100"/>
        <v>0</v>
      </c>
      <c r="J469" s="46">
        <f t="shared" si="100"/>
        <v>0</v>
      </c>
      <c r="K469" s="61"/>
      <c r="L469" s="61"/>
      <c r="M469" s="61"/>
      <c r="N469" s="61"/>
      <c r="O469" s="61"/>
      <c r="P469" s="61"/>
      <c r="Q469" s="179" t="s">
        <v>82</v>
      </c>
      <c r="R469" s="28"/>
    </row>
    <row r="470" spans="1:18" x14ac:dyDescent="0.25">
      <c r="A470" s="167"/>
      <c r="B470" s="159"/>
      <c r="C470" s="159"/>
      <c r="D470" s="155" t="s">
        <v>10</v>
      </c>
      <c r="E470" s="156"/>
      <c r="F470" s="156"/>
      <c r="G470" s="156"/>
      <c r="H470" s="156"/>
      <c r="I470" s="156"/>
      <c r="J470" s="157"/>
      <c r="K470" s="61"/>
      <c r="L470" s="61"/>
      <c r="M470" s="61"/>
      <c r="N470" s="61"/>
      <c r="O470" s="61"/>
      <c r="P470" s="61"/>
      <c r="Q470" s="180"/>
      <c r="R470" s="28"/>
    </row>
    <row r="471" spans="1:18" x14ac:dyDescent="0.25">
      <c r="A471" s="167"/>
      <c r="B471" s="159"/>
      <c r="C471" s="159"/>
      <c r="D471" s="54" t="s">
        <v>11</v>
      </c>
      <c r="E471" s="46">
        <f>SUM(F471:J471)</f>
        <v>2469.2081399999997</v>
      </c>
      <c r="F471" s="46">
        <f>F477+F483</f>
        <v>2469.2081399999997</v>
      </c>
      <c r="G471" s="46">
        <f>G477+G483</f>
        <v>0</v>
      </c>
      <c r="H471" s="46">
        <f>H477+H483</f>
        <v>0</v>
      </c>
      <c r="I471" s="46">
        <f>I477+I483</f>
        <v>0</v>
      </c>
      <c r="J471" s="46">
        <f>J477+J483</f>
        <v>0</v>
      </c>
      <c r="K471" s="61"/>
      <c r="L471" s="61"/>
      <c r="M471" s="61"/>
      <c r="N471" s="61"/>
      <c r="O471" s="61"/>
      <c r="P471" s="61"/>
      <c r="Q471" s="180"/>
      <c r="R471" s="28"/>
    </row>
    <row r="472" spans="1:18" x14ac:dyDescent="0.25">
      <c r="A472" s="167"/>
      <c r="B472" s="159"/>
      <c r="C472" s="159"/>
      <c r="D472" s="54" t="s">
        <v>12</v>
      </c>
      <c r="E472" s="46">
        <f>SUM(F472:J472)</f>
        <v>0</v>
      </c>
      <c r="F472" s="46">
        <f t="shared" ref="F472:J474" si="101">F478+F484</f>
        <v>0</v>
      </c>
      <c r="G472" s="46">
        <f t="shared" si="101"/>
        <v>0</v>
      </c>
      <c r="H472" s="46">
        <f t="shared" si="101"/>
        <v>0</v>
      </c>
      <c r="I472" s="46">
        <f t="shared" si="101"/>
        <v>0</v>
      </c>
      <c r="J472" s="46">
        <f t="shared" si="101"/>
        <v>0</v>
      </c>
      <c r="K472" s="61"/>
      <c r="L472" s="61"/>
      <c r="M472" s="61"/>
      <c r="N472" s="61"/>
      <c r="O472" s="61"/>
      <c r="P472" s="61"/>
      <c r="Q472" s="180"/>
      <c r="R472" s="28"/>
    </row>
    <row r="473" spans="1:18" x14ac:dyDescent="0.25">
      <c r="A473" s="167"/>
      <c r="B473" s="159"/>
      <c r="C473" s="159"/>
      <c r="D473" s="54" t="s">
        <v>13</v>
      </c>
      <c r="E473" s="46">
        <f>SUM(F473:J473)</f>
        <v>0</v>
      </c>
      <c r="F473" s="46">
        <f t="shared" si="101"/>
        <v>0</v>
      </c>
      <c r="G473" s="46">
        <f t="shared" si="101"/>
        <v>0</v>
      </c>
      <c r="H473" s="46">
        <f t="shared" si="101"/>
        <v>0</v>
      </c>
      <c r="I473" s="46">
        <f t="shared" si="101"/>
        <v>0</v>
      </c>
      <c r="J473" s="46">
        <f t="shared" si="101"/>
        <v>0</v>
      </c>
      <c r="K473" s="61"/>
      <c r="L473" s="61"/>
      <c r="M473" s="61"/>
      <c r="N473" s="61"/>
      <c r="O473" s="61"/>
      <c r="P473" s="61"/>
      <c r="Q473" s="180"/>
      <c r="R473" s="28"/>
    </row>
    <row r="474" spans="1:18" x14ac:dyDescent="0.25">
      <c r="A474" s="168"/>
      <c r="B474" s="160"/>
      <c r="C474" s="160"/>
      <c r="D474" s="54" t="s">
        <v>14</v>
      </c>
      <c r="E474" s="46">
        <f>SUM(F474:J474)</f>
        <v>0</v>
      </c>
      <c r="F474" s="46">
        <f t="shared" si="101"/>
        <v>0</v>
      </c>
      <c r="G474" s="46">
        <f t="shared" si="101"/>
        <v>0</v>
      </c>
      <c r="H474" s="46">
        <f t="shared" si="101"/>
        <v>0</v>
      </c>
      <c r="I474" s="46">
        <f t="shared" si="101"/>
        <v>0</v>
      </c>
      <c r="J474" s="46">
        <f t="shared" si="101"/>
        <v>0</v>
      </c>
      <c r="K474" s="61"/>
      <c r="L474" s="61"/>
      <c r="M474" s="61"/>
      <c r="N474" s="61"/>
      <c r="O474" s="61"/>
      <c r="P474" s="61"/>
      <c r="Q474" s="181"/>
      <c r="R474" s="28"/>
    </row>
    <row r="475" spans="1:18" ht="15" customHeight="1" x14ac:dyDescent="0.25">
      <c r="A475" s="166"/>
      <c r="B475" s="158"/>
      <c r="C475" s="158" t="s">
        <v>164</v>
      </c>
      <c r="D475" s="54" t="s">
        <v>9</v>
      </c>
      <c r="E475" s="46">
        <f t="shared" ref="E475:J475" si="102">SUM(E476:E480)</f>
        <v>994.20813999999996</v>
      </c>
      <c r="F475" s="46">
        <f t="shared" si="102"/>
        <v>994.20813999999996</v>
      </c>
      <c r="G475" s="46">
        <f t="shared" si="102"/>
        <v>0</v>
      </c>
      <c r="H475" s="46">
        <f t="shared" si="102"/>
        <v>0</v>
      </c>
      <c r="I475" s="46">
        <f t="shared" si="102"/>
        <v>0</v>
      </c>
      <c r="J475" s="46">
        <f t="shared" si="102"/>
        <v>0</v>
      </c>
      <c r="K475" s="61"/>
      <c r="L475" s="61"/>
      <c r="M475" s="61"/>
      <c r="N475" s="61"/>
      <c r="O475" s="61"/>
      <c r="P475" s="61"/>
      <c r="Q475" s="179" t="s">
        <v>70</v>
      </c>
      <c r="R475" s="28"/>
    </row>
    <row r="476" spans="1:18" x14ac:dyDescent="0.25">
      <c r="A476" s="167"/>
      <c r="B476" s="159"/>
      <c r="C476" s="159"/>
      <c r="D476" s="155" t="s">
        <v>10</v>
      </c>
      <c r="E476" s="156"/>
      <c r="F476" s="156"/>
      <c r="G476" s="156"/>
      <c r="H476" s="156"/>
      <c r="I476" s="156"/>
      <c r="J476" s="157"/>
      <c r="K476" s="61"/>
      <c r="L476" s="61"/>
      <c r="M476" s="61"/>
      <c r="N476" s="61"/>
      <c r="O476" s="61"/>
      <c r="P476" s="61"/>
      <c r="Q476" s="180"/>
      <c r="R476" s="28"/>
    </row>
    <row r="477" spans="1:18" x14ac:dyDescent="0.25">
      <c r="A477" s="167"/>
      <c r="B477" s="159"/>
      <c r="C477" s="159"/>
      <c r="D477" s="54" t="s">
        <v>11</v>
      </c>
      <c r="E477" s="46">
        <f>SUM(F477:J477)</f>
        <v>994.20813999999996</v>
      </c>
      <c r="F477" s="46">
        <f>200+691.2129+102.99524</f>
        <v>994.20813999999996</v>
      </c>
      <c r="G477" s="46"/>
      <c r="H477" s="46"/>
      <c r="I477" s="46"/>
      <c r="J477" s="46"/>
      <c r="K477" s="61"/>
      <c r="L477" s="61"/>
      <c r="M477" s="61"/>
      <c r="N477" s="61"/>
      <c r="O477" s="61"/>
      <c r="P477" s="61"/>
      <c r="Q477" s="180"/>
      <c r="R477" s="28"/>
    </row>
    <row r="478" spans="1:18" x14ac:dyDescent="0.25">
      <c r="A478" s="167"/>
      <c r="B478" s="159"/>
      <c r="C478" s="159"/>
      <c r="D478" s="54" t="s">
        <v>12</v>
      </c>
      <c r="E478" s="46">
        <f>SUM(F478:J478)</f>
        <v>0</v>
      </c>
      <c r="F478" s="46"/>
      <c r="G478" s="46"/>
      <c r="H478" s="46"/>
      <c r="I478" s="46"/>
      <c r="J478" s="46"/>
      <c r="K478" s="61"/>
      <c r="L478" s="61"/>
      <c r="M478" s="61"/>
      <c r="N478" s="61"/>
      <c r="O478" s="61"/>
      <c r="P478" s="61"/>
      <c r="Q478" s="180"/>
      <c r="R478" s="28"/>
    </row>
    <row r="479" spans="1:18" x14ac:dyDescent="0.25">
      <c r="A479" s="167"/>
      <c r="B479" s="159"/>
      <c r="C479" s="159"/>
      <c r="D479" s="54" t="s">
        <v>13</v>
      </c>
      <c r="E479" s="46">
        <f>SUM(F479:J479)</f>
        <v>0</v>
      </c>
      <c r="F479" s="46"/>
      <c r="G479" s="46"/>
      <c r="H479" s="46"/>
      <c r="I479" s="46"/>
      <c r="J479" s="46"/>
      <c r="K479" s="61"/>
      <c r="L479" s="61"/>
      <c r="M479" s="61"/>
      <c r="N479" s="61"/>
      <c r="O479" s="61"/>
      <c r="P479" s="61"/>
      <c r="Q479" s="180"/>
      <c r="R479" s="28"/>
    </row>
    <row r="480" spans="1:18" x14ac:dyDescent="0.25">
      <c r="A480" s="168"/>
      <c r="B480" s="160"/>
      <c r="C480" s="160"/>
      <c r="D480" s="54" t="s">
        <v>14</v>
      </c>
      <c r="E480" s="46">
        <f>SUM(F480:J480)</f>
        <v>0</v>
      </c>
      <c r="F480" s="46"/>
      <c r="G480" s="46"/>
      <c r="H480" s="46"/>
      <c r="I480" s="46"/>
      <c r="J480" s="46"/>
      <c r="K480" s="61"/>
      <c r="L480" s="61"/>
      <c r="M480" s="61"/>
      <c r="N480" s="61"/>
      <c r="O480" s="61"/>
      <c r="P480" s="61"/>
      <c r="Q480" s="181"/>
      <c r="R480" s="28"/>
    </row>
    <row r="481" spans="1:18" ht="15" customHeight="1" x14ac:dyDescent="0.25">
      <c r="A481" s="166"/>
      <c r="B481" s="158"/>
      <c r="C481" s="158" t="s">
        <v>164</v>
      </c>
      <c r="D481" s="54" t="s">
        <v>9</v>
      </c>
      <c r="E481" s="46">
        <f t="shared" ref="E481:J481" si="103">SUM(E482:E486)</f>
        <v>1475</v>
      </c>
      <c r="F481" s="46">
        <f t="shared" si="103"/>
        <v>1475</v>
      </c>
      <c r="G481" s="46">
        <f t="shared" si="103"/>
        <v>0</v>
      </c>
      <c r="H481" s="46">
        <f t="shared" si="103"/>
        <v>0</v>
      </c>
      <c r="I481" s="46">
        <f t="shared" si="103"/>
        <v>0</v>
      </c>
      <c r="J481" s="46">
        <f t="shared" si="103"/>
        <v>0</v>
      </c>
      <c r="K481" s="61"/>
      <c r="L481" s="61"/>
      <c r="M481" s="61"/>
      <c r="N481" s="61"/>
      <c r="O481" s="61"/>
      <c r="P481" s="61"/>
      <c r="Q481" s="179" t="s">
        <v>80</v>
      </c>
      <c r="R481" s="28"/>
    </row>
    <row r="482" spans="1:18" x14ac:dyDescent="0.25">
      <c r="A482" s="167"/>
      <c r="B482" s="159"/>
      <c r="C482" s="159"/>
      <c r="D482" s="155" t="s">
        <v>10</v>
      </c>
      <c r="E482" s="156"/>
      <c r="F482" s="156"/>
      <c r="G482" s="156"/>
      <c r="H482" s="156"/>
      <c r="I482" s="156"/>
      <c r="J482" s="157"/>
      <c r="K482" s="61"/>
      <c r="L482" s="61"/>
      <c r="M482" s="61"/>
      <c r="N482" s="61"/>
      <c r="O482" s="61"/>
      <c r="P482" s="61"/>
      <c r="Q482" s="180"/>
      <c r="R482" s="28"/>
    </row>
    <row r="483" spans="1:18" x14ac:dyDescent="0.25">
      <c r="A483" s="167"/>
      <c r="B483" s="159"/>
      <c r="C483" s="159"/>
      <c r="D483" s="54" t="s">
        <v>11</v>
      </c>
      <c r="E483" s="46">
        <f>SUM(F483:J483)</f>
        <v>1475</v>
      </c>
      <c r="F483" s="46">
        <f>475+1000</f>
        <v>1475</v>
      </c>
      <c r="G483" s="46"/>
      <c r="H483" s="46"/>
      <c r="I483" s="46"/>
      <c r="J483" s="46"/>
      <c r="K483" s="61"/>
      <c r="L483" s="61"/>
      <c r="M483" s="61"/>
      <c r="N483" s="61"/>
      <c r="O483" s="61"/>
      <c r="P483" s="61"/>
      <c r="Q483" s="180"/>
      <c r="R483" s="28"/>
    </row>
    <row r="484" spans="1:18" x14ac:dyDescent="0.25">
      <c r="A484" s="167"/>
      <c r="B484" s="159"/>
      <c r="C484" s="159"/>
      <c r="D484" s="54" t="s">
        <v>12</v>
      </c>
      <c r="E484" s="46">
        <f>SUM(F484:J484)</f>
        <v>0</v>
      </c>
      <c r="F484" s="46"/>
      <c r="G484" s="46"/>
      <c r="H484" s="46"/>
      <c r="I484" s="46"/>
      <c r="J484" s="46"/>
      <c r="K484" s="61"/>
      <c r="L484" s="61"/>
      <c r="M484" s="61"/>
      <c r="N484" s="61"/>
      <c r="O484" s="61"/>
      <c r="P484" s="61"/>
      <c r="Q484" s="180"/>
      <c r="R484" s="28"/>
    </row>
    <row r="485" spans="1:18" x14ac:dyDescent="0.25">
      <c r="A485" s="167"/>
      <c r="B485" s="159"/>
      <c r="C485" s="159"/>
      <c r="D485" s="54" t="s">
        <v>13</v>
      </c>
      <c r="E485" s="46">
        <f>SUM(F485:J485)</f>
        <v>0</v>
      </c>
      <c r="F485" s="46"/>
      <c r="G485" s="46"/>
      <c r="H485" s="46"/>
      <c r="I485" s="46"/>
      <c r="J485" s="46"/>
      <c r="K485" s="61"/>
      <c r="L485" s="61"/>
      <c r="M485" s="61"/>
      <c r="N485" s="61"/>
      <c r="O485" s="61"/>
      <c r="P485" s="61"/>
      <c r="Q485" s="180"/>
      <c r="R485" s="28"/>
    </row>
    <row r="486" spans="1:18" x14ac:dyDescent="0.25">
      <c r="A486" s="168"/>
      <c r="B486" s="160"/>
      <c r="C486" s="160"/>
      <c r="D486" s="54" t="s">
        <v>14</v>
      </c>
      <c r="E486" s="46">
        <f>SUM(F486:J486)</f>
        <v>0</v>
      </c>
      <c r="F486" s="46"/>
      <c r="G486" s="46"/>
      <c r="H486" s="46"/>
      <c r="I486" s="46"/>
      <c r="J486" s="46"/>
      <c r="K486" s="61"/>
      <c r="L486" s="61"/>
      <c r="M486" s="61"/>
      <c r="N486" s="61"/>
      <c r="O486" s="61"/>
      <c r="P486" s="61"/>
      <c r="Q486" s="181"/>
      <c r="R486" s="28"/>
    </row>
    <row r="487" spans="1:18" ht="15" customHeight="1" x14ac:dyDescent="0.25">
      <c r="A487" s="166" t="s">
        <v>234</v>
      </c>
      <c r="B487" s="158" t="s">
        <v>264</v>
      </c>
      <c r="C487" s="158" t="s">
        <v>164</v>
      </c>
      <c r="D487" s="54" t="s">
        <v>9</v>
      </c>
      <c r="E487" s="46">
        <f t="shared" ref="E487:J487" si="104">SUM(E488:E492)</f>
        <v>290.54000000000002</v>
      </c>
      <c r="F487" s="46">
        <f t="shared" si="104"/>
        <v>290.54000000000002</v>
      </c>
      <c r="G487" s="46">
        <f t="shared" si="104"/>
        <v>0</v>
      </c>
      <c r="H487" s="46">
        <f t="shared" si="104"/>
        <v>0</v>
      </c>
      <c r="I487" s="46">
        <f t="shared" si="104"/>
        <v>0</v>
      </c>
      <c r="J487" s="46">
        <f t="shared" si="104"/>
        <v>0</v>
      </c>
      <c r="K487" s="61"/>
      <c r="L487" s="61"/>
      <c r="M487" s="61"/>
      <c r="N487" s="61"/>
      <c r="O487" s="61"/>
      <c r="P487" s="61"/>
      <c r="Q487" s="179" t="s">
        <v>73</v>
      </c>
      <c r="R487" s="28"/>
    </row>
    <row r="488" spans="1:18" x14ac:dyDescent="0.25">
      <c r="A488" s="167"/>
      <c r="B488" s="159"/>
      <c r="C488" s="159"/>
      <c r="D488" s="155" t="s">
        <v>10</v>
      </c>
      <c r="E488" s="156"/>
      <c r="F488" s="156"/>
      <c r="G488" s="156"/>
      <c r="H488" s="156"/>
      <c r="I488" s="156"/>
      <c r="J488" s="157"/>
      <c r="K488" s="61"/>
      <c r="L488" s="61"/>
      <c r="M488" s="61"/>
      <c r="N488" s="61"/>
      <c r="O488" s="61"/>
      <c r="P488" s="61"/>
      <c r="Q488" s="180"/>
      <c r="R488" s="28"/>
    </row>
    <row r="489" spans="1:18" x14ac:dyDescent="0.25">
      <c r="A489" s="167"/>
      <c r="B489" s="159"/>
      <c r="C489" s="159"/>
      <c r="D489" s="54" t="s">
        <v>11</v>
      </c>
      <c r="E489" s="46">
        <f>SUM(F489:J489)</f>
        <v>290.54000000000002</v>
      </c>
      <c r="F489" s="46">
        <v>290.54000000000002</v>
      </c>
      <c r="G489" s="46">
        <v>0</v>
      </c>
      <c r="H489" s="46">
        <v>0</v>
      </c>
      <c r="I489" s="46">
        <v>0</v>
      </c>
      <c r="J489" s="46">
        <v>0</v>
      </c>
      <c r="K489" s="61"/>
      <c r="L489" s="61"/>
      <c r="M489" s="61"/>
      <c r="N489" s="61"/>
      <c r="O489" s="61"/>
      <c r="P489" s="61"/>
      <c r="Q489" s="180"/>
      <c r="R489" s="28"/>
    </row>
    <row r="490" spans="1:18" x14ac:dyDescent="0.25">
      <c r="A490" s="167"/>
      <c r="B490" s="159"/>
      <c r="C490" s="159"/>
      <c r="D490" s="54" t="s">
        <v>12</v>
      </c>
      <c r="E490" s="46">
        <f>SUM(F490:J490)</f>
        <v>0</v>
      </c>
      <c r="F490" s="46">
        <v>0</v>
      </c>
      <c r="G490" s="46">
        <v>0</v>
      </c>
      <c r="H490" s="46">
        <v>0</v>
      </c>
      <c r="I490" s="46">
        <v>0</v>
      </c>
      <c r="J490" s="46">
        <v>0</v>
      </c>
      <c r="K490" s="61"/>
      <c r="L490" s="61"/>
      <c r="M490" s="61"/>
      <c r="N490" s="61"/>
      <c r="O490" s="61"/>
      <c r="P490" s="61"/>
      <c r="Q490" s="180"/>
      <c r="R490" s="28"/>
    </row>
    <row r="491" spans="1:18" x14ac:dyDescent="0.25">
      <c r="A491" s="167"/>
      <c r="B491" s="159"/>
      <c r="C491" s="159"/>
      <c r="D491" s="54" t="s">
        <v>13</v>
      </c>
      <c r="E491" s="46">
        <f>SUM(F491:J491)</f>
        <v>0</v>
      </c>
      <c r="F491" s="46">
        <v>0</v>
      </c>
      <c r="G491" s="46">
        <v>0</v>
      </c>
      <c r="H491" s="46">
        <v>0</v>
      </c>
      <c r="I491" s="46">
        <v>0</v>
      </c>
      <c r="J491" s="46">
        <v>0</v>
      </c>
      <c r="K491" s="61"/>
      <c r="L491" s="61"/>
      <c r="M491" s="61"/>
      <c r="N491" s="61"/>
      <c r="O491" s="61"/>
      <c r="P491" s="61"/>
      <c r="Q491" s="180"/>
      <c r="R491" s="28"/>
    </row>
    <row r="492" spans="1:18" x14ac:dyDescent="0.25">
      <c r="A492" s="168"/>
      <c r="B492" s="160"/>
      <c r="C492" s="160"/>
      <c r="D492" s="54" t="s">
        <v>14</v>
      </c>
      <c r="E492" s="46">
        <f>SUM(F492:J492)</f>
        <v>0</v>
      </c>
      <c r="F492" s="46">
        <v>0</v>
      </c>
      <c r="G492" s="46">
        <v>0</v>
      </c>
      <c r="H492" s="46">
        <v>0</v>
      </c>
      <c r="I492" s="46">
        <v>0</v>
      </c>
      <c r="J492" s="46">
        <v>0</v>
      </c>
      <c r="K492" s="61"/>
      <c r="L492" s="61"/>
      <c r="M492" s="61"/>
      <c r="N492" s="61"/>
      <c r="O492" s="61"/>
      <c r="P492" s="61"/>
      <c r="Q492" s="181"/>
      <c r="R492" s="28"/>
    </row>
    <row r="493" spans="1:18" ht="15" customHeight="1" x14ac:dyDescent="0.25">
      <c r="A493" s="166" t="s">
        <v>235</v>
      </c>
      <c r="B493" s="158" t="s">
        <v>237</v>
      </c>
      <c r="C493" s="158" t="s">
        <v>164</v>
      </c>
      <c r="D493" s="54" t="s">
        <v>9</v>
      </c>
      <c r="E493" s="46">
        <f t="shared" ref="E493:J493" si="105">SUM(E494:E498)</f>
        <v>969.18100000000004</v>
      </c>
      <c r="F493" s="46">
        <f t="shared" si="105"/>
        <v>969.18100000000004</v>
      </c>
      <c r="G493" s="46">
        <f t="shared" si="105"/>
        <v>0</v>
      </c>
      <c r="H493" s="46">
        <f t="shared" si="105"/>
        <v>0</v>
      </c>
      <c r="I493" s="46">
        <f t="shared" si="105"/>
        <v>0</v>
      </c>
      <c r="J493" s="46">
        <f t="shared" si="105"/>
        <v>0</v>
      </c>
      <c r="K493" s="61"/>
      <c r="L493" s="61"/>
      <c r="M493" s="61"/>
      <c r="N493" s="61"/>
      <c r="O493" s="61"/>
      <c r="P493" s="61"/>
      <c r="Q493" s="179" t="s">
        <v>80</v>
      </c>
      <c r="R493" s="28"/>
    </row>
    <row r="494" spans="1:18" x14ac:dyDescent="0.25">
      <c r="A494" s="167"/>
      <c r="B494" s="159"/>
      <c r="C494" s="159"/>
      <c r="D494" s="155" t="s">
        <v>10</v>
      </c>
      <c r="E494" s="156"/>
      <c r="F494" s="156"/>
      <c r="G494" s="156"/>
      <c r="H494" s="156"/>
      <c r="I494" s="156"/>
      <c r="J494" s="157"/>
      <c r="K494" s="61"/>
      <c r="L494" s="61"/>
      <c r="M494" s="61"/>
      <c r="N494" s="61"/>
      <c r="O494" s="61"/>
      <c r="P494" s="61"/>
      <c r="Q494" s="180"/>
      <c r="R494" s="28"/>
    </row>
    <row r="495" spans="1:18" x14ac:dyDescent="0.25">
      <c r="A495" s="167"/>
      <c r="B495" s="159"/>
      <c r="C495" s="159"/>
      <c r="D495" s="54" t="s">
        <v>11</v>
      </c>
      <c r="E495" s="46">
        <f>SUM(F495:J495)</f>
        <v>969.18100000000004</v>
      </c>
      <c r="F495" s="46">
        <v>969.18100000000004</v>
      </c>
      <c r="G495" s="46">
        <v>0</v>
      </c>
      <c r="H495" s="46">
        <v>0</v>
      </c>
      <c r="I495" s="46">
        <v>0</v>
      </c>
      <c r="J495" s="46">
        <v>0</v>
      </c>
      <c r="K495" s="61"/>
      <c r="L495" s="61"/>
      <c r="M495" s="61"/>
      <c r="N495" s="61"/>
      <c r="O495" s="61"/>
      <c r="P495" s="61"/>
      <c r="Q495" s="180"/>
      <c r="R495" s="28"/>
    </row>
    <row r="496" spans="1:18" x14ac:dyDescent="0.25">
      <c r="A496" s="167"/>
      <c r="B496" s="159"/>
      <c r="C496" s="159"/>
      <c r="D496" s="54" t="s">
        <v>12</v>
      </c>
      <c r="E496" s="46">
        <f>SUM(F496:J496)</f>
        <v>0</v>
      </c>
      <c r="F496" s="46">
        <v>0</v>
      </c>
      <c r="G496" s="46">
        <v>0</v>
      </c>
      <c r="H496" s="46">
        <v>0</v>
      </c>
      <c r="I496" s="46">
        <v>0</v>
      </c>
      <c r="J496" s="46">
        <v>0</v>
      </c>
      <c r="K496" s="61"/>
      <c r="L496" s="61"/>
      <c r="M496" s="61"/>
      <c r="N496" s="61"/>
      <c r="O496" s="61"/>
      <c r="P496" s="61"/>
      <c r="Q496" s="180"/>
      <c r="R496" s="28"/>
    </row>
    <row r="497" spans="1:18" x14ac:dyDescent="0.25">
      <c r="A497" s="167"/>
      <c r="B497" s="159"/>
      <c r="C497" s="159"/>
      <c r="D497" s="54" t="s">
        <v>13</v>
      </c>
      <c r="E497" s="46">
        <f>SUM(F497:J497)</f>
        <v>0</v>
      </c>
      <c r="F497" s="46">
        <v>0</v>
      </c>
      <c r="G497" s="46">
        <v>0</v>
      </c>
      <c r="H497" s="46">
        <v>0</v>
      </c>
      <c r="I497" s="46">
        <v>0</v>
      </c>
      <c r="J497" s="46">
        <v>0</v>
      </c>
      <c r="K497" s="61"/>
      <c r="L497" s="61"/>
      <c r="M497" s="61"/>
      <c r="N497" s="61"/>
      <c r="O497" s="61"/>
      <c r="P497" s="61"/>
      <c r="Q497" s="180"/>
      <c r="R497" s="28"/>
    </row>
    <row r="498" spans="1:18" x14ac:dyDescent="0.25">
      <c r="A498" s="168"/>
      <c r="B498" s="160"/>
      <c r="C498" s="160"/>
      <c r="D498" s="54" t="s">
        <v>14</v>
      </c>
      <c r="E498" s="46">
        <f>SUM(F498:J498)</f>
        <v>0</v>
      </c>
      <c r="F498" s="46">
        <v>0</v>
      </c>
      <c r="G498" s="46">
        <v>0</v>
      </c>
      <c r="H498" s="46">
        <v>0</v>
      </c>
      <c r="I498" s="46">
        <v>0</v>
      </c>
      <c r="J498" s="46">
        <v>0</v>
      </c>
      <c r="K498" s="61"/>
      <c r="L498" s="61"/>
      <c r="M498" s="61"/>
      <c r="N498" s="61"/>
      <c r="O498" s="61"/>
      <c r="P498" s="61"/>
      <c r="Q498" s="181"/>
      <c r="R498" s="28"/>
    </row>
    <row r="499" spans="1:18" ht="15" customHeight="1" x14ac:dyDescent="0.25">
      <c r="A499" s="166" t="s">
        <v>236</v>
      </c>
      <c r="B499" s="158" t="s">
        <v>238</v>
      </c>
      <c r="C499" s="158" t="s">
        <v>288</v>
      </c>
      <c r="D499" s="54" t="s">
        <v>9</v>
      </c>
      <c r="E499" s="46">
        <f t="shared" ref="E499:J499" si="106">SUM(E500:E504)</f>
        <v>1305.644</v>
      </c>
      <c r="F499" s="46">
        <f t="shared" si="106"/>
        <v>957.10900000000004</v>
      </c>
      <c r="G499" s="46">
        <f t="shared" si="106"/>
        <v>348.53500000000003</v>
      </c>
      <c r="H499" s="46">
        <f t="shared" si="106"/>
        <v>0</v>
      </c>
      <c r="I499" s="46">
        <f t="shared" si="106"/>
        <v>0</v>
      </c>
      <c r="J499" s="46">
        <f t="shared" si="106"/>
        <v>0</v>
      </c>
      <c r="K499" s="61"/>
      <c r="L499" s="61"/>
      <c r="M499" s="61"/>
      <c r="N499" s="61"/>
      <c r="O499" s="61"/>
      <c r="P499" s="61"/>
      <c r="Q499" s="179" t="s">
        <v>80</v>
      </c>
      <c r="R499" s="28"/>
    </row>
    <row r="500" spans="1:18" x14ac:dyDescent="0.25">
      <c r="A500" s="167"/>
      <c r="B500" s="159"/>
      <c r="C500" s="159"/>
      <c r="D500" s="155" t="s">
        <v>10</v>
      </c>
      <c r="E500" s="156"/>
      <c r="F500" s="156"/>
      <c r="G500" s="156"/>
      <c r="H500" s="156"/>
      <c r="I500" s="156"/>
      <c r="J500" s="157"/>
      <c r="K500" s="61"/>
      <c r="L500" s="61"/>
      <c r="M500" s="61"/>
      <c r="N500" s="61"/>
      <c r="O500" s="61"/>
      <c r="P500" s="61"/>
      <c r="Q500" s="180"/>
      <c r="R500" s="28"/>
    </row>
    <row r="501" spans="1:18" x14ac:dyDescent="0.25">
      <c r="A501" s="167"/>
      <c r="B501" s="159"/>
      <c r="C501" s="159"/>
      <c r="D501" s="54" t="s">
        <v>11</v>
      </c>
      <c r="E501" s="46">
        <f>SUM(F501:J501)</f>
        <v>1305.644</v>
      </c>
      <c r="F501" s="46">
        <f>530.819+487.047-60.757</f>
        <v>957.10900000000004</v>
      </c>
      <c r="G501" s="46">
        <v>348.53500000000003</v>
      </c>
      <c r="H501" s="46">
        <v>0</v>
      </c>
      <c r="I501" s="46">
        <v>0</v>
      </c>
      <c r="J501" s="46">
        <v>0</v>
      </c>
      <c r="K501" s="61"/>
      <c r="L501" s="61"/>
      <c r="M501" s="61"/>
      <c r="N501" s="61"/>
      <c r="O501" s="61"/>
      <c r="P501" s="61"/>
      <c r="Q501" s="180"/>
      <c r="R501" s="28"/>
    </row>
    <row r="502" spans="1:18" x14ac:dyDescent="0.25">
      <c r="A502" s="167"/>
      <c r="B502" s="159"/>
      <c r="C502" s="159"/>
      <c r="D502" s="54" t="s">
        <v>12</v>
      </c>
      <c r="E502" s="46">
        <f>SUM(F502:J502)</f>
        <v>0</v>
      </c>
      <c r="F502" s="46">
        <v>0</v>
      </c>
      <c r="G502" s="46">
        <v>0</v>
      </c>
      <c r="H502" s="46">
        <v>0</v>
      </c>
      <c r="I502" s="46">
        <v>0</v>
      </c>
      <c r="J502" s="46">
        <v>0</v>
      </c>
      <c r="K502" s="61"/>
      <c r="L502" s="61"/>
      <c r="M502" s="61"/>
      <c r="N502" s="61"/>
      <c r="O502" s="61"/>
      <c r="P502" s="61"/>
      <c r="Q502" s="180"/>
      <c r="R502" s="28"/>
    </row>
    <row r="503" spans="1:18" x14ac:dyDescent="0.25">
      <c r="A503" s="167"/>
      <c r="B503" s="159"/>
      <c r="C503" s="159"/>
      <c r="D503" s="54" t="s">
        <v>13</v>
      </c>
      <c r="E503" s="46">
        <f>SUM(F503:J503)</f>
        <v>0</v>
      </c>
      <c r="F503" s="46">
        <v>0</v>
      </c>
      <c r="G503" s="46">
        <v>0</v>
      </c>
      <c r="H503" s="46">
        <v>0</v>
      </c>
      <c r="I503" s="46">
        <v>0</v>
      </c>
      <c r="J503" s="46">
        <v>0</v>
      </c>
      <c r="K503" s="61"/>
      <c r="L503" s="61"/>
      <c r="M503" s="61"/>
      <c r="N503" s="61"/>
      <c r="O503" s="61"/>
      <c r="P503" s="61"/>
      <c r="Q503" s="180"/>
      <c r="R503" s="28"/>
    </row>
    <row r="504" spans="1:18" x14ac:dyDescent="0.25">
      <c r="A504" s="168"/>
      <c r="B504" s="160"/>
      <c r="C504" s="160"/>
      <c r="D504" s="54" t="s">
        <v>14</v>
      </c>
      <c r="E504" s="46">
        <f>SUM(F504:J504)</f>
        <v>0</v>
      </c>
      <c r="F504" s="46">
        <v>0</v>
      </c>
      <c r="G504" s="46">
        <v>0</v>
      </c>
      <c r="H504" s="46">
        <v>0</v>
      </c>
      <c r="I504" s="46">
        <v>0</v>
      </c>
      <c r="J504" s="46">
        <v>0</v>
      </c>
      <c r="K504" s="61"/>
      <c r="L504" s="61"/>
      <c r="M504" s="61"/>
      <c r="N504" s="61"/>
      <c r="O504" s="61"/>
      <c r="P504" s="61"/>
      <c r="Q504" s="181"/>
      <c r="R504" s="28"/>
    </row>
    <row r="505" spans="1:18" ht="15" customHeight="1" x14ac:dyDescent="0.25">
      <c r="A505" s="166" t="s">
        <v>236</v>
      </c>
      <c r="B505" s="158" t="s">
        <v>265</v>
      </c>
      <c r="C505" s="158" t="s">
        <v>164</v>
      </c>
      <c r="D505" s="54" t="s">
        <v>9</v>
      </c>
      <c r="E505" s="46">
        <f t="shared" ref="E505:J505" si="107">SUM(E506:E510)</f>
        <v>600</v>
      </c>
      <c r="F505" s="46">
        <f t="shared" si="107"/>
        <v>600</v>
      </c>
      <c r="G505" s="46">
        <f t="shared" si="107"/>
        <v>0</v>
      </c>
      <c r="H505" s="46">
        <f t="shared" si="107"/>
        <v>0</v>
      </c>
      <c r="I505" s="46">
        <f t="shared" si="107"/>
        <v>0</v>
      </c>
      <c r="J505" s="46">
        <f t="shared" si="107"/>
        <v>0</v>
      </c>
      <c r="K505" s="61"/>
      <c r="L505" s="61"/>
      <c r="M505" s="61"/>
      <c r="N505" s="61"/>
      <c r="O505" s="61"/>
      <c r="P505" s="61"/>
      <c r="Q505" s="179" t="s">
        <v>80</v>
      </c>
      <c r="R505" s="28"/>
    </row>
    <row r="506" spans="1:18" x14ac:dyDescent="0.25">
      <c r="A506" s="167"/>
      <c r="B506" s="159"/>
      <c r="C506" s="159"/>
      <c r="D506" s="155" t="s">
        <v>10</v>
      </c>
      <c r="E506" s="156"/>
      <c r="F506" s="156"/>
      <c r="G506" s="156"/>
      <c r="H506" s="156"/>
      <c r="I506" s="156"/>
      <c r="J506" s="157"/>
      <c r="K506" s="61"/>
      <c r="L506" s="61"/>
      <c r="M506" s="61"/>
      <c r="N506" s="61"/>
      <c r="O506" s="61"/>
      <c r="P506" s="61"/>
      <c r="Q506" s="180"/>
      <c r="R506" s="28"/>
    </row>
    <row r="507" spans="1:18" x14ac:dyDescent="0.25">
      <c r="A507" s="167"/>
      <c r="B507" s="159"/>
      <c r="C507" s="159"/>
      <c r="D507" s="54" t="s">
        <v>11</v>
      </c>
      <c r="E507" s="46">
        <f>SUM(F507:J507)</f>
        <v>228.18</v>
      </c>
      <c r="F507" s="46">
        <v>228.18</v>
      </c>
      <c r="G507" s="46">
        <v>0</v>
      </c>
      <c r="H507" s="46">
        <v>0</v>
      </c>
      <c r="I507" s="46">
        <v>0</v>
      </c>
      <c r="J507" s="46">
        <v>0</v>
      </c>
      <c r="K507" s="61"/>
      <c r="L507" s="61"/>
      <c r="M507" s="61"/>
      <c r="N507" s="61"/>
      <c r="O507" s="61"/>
      <c r="P507" s="61"/>
      <c r="Q507" s="180"/>
      <c r="R507" s="28"/>
    </row>
    <row r="508" spans="1:18" x14ac:dyDescent="0.25">
      <c r="A508" s="167"/>
      <c r="B508" s="159"/>
      <c r="C508" s="159"/>
      <c r="D508" s="54" t="s">
        <v>12</v>
      </c>
      <c r="E508" s="46">
        <f>SUM(F508:J508)</f>
        <v>371.82</v>
      </c>
      <c r="F508" s="46">
        <v>371.82</v>
      </c>
      <c r="G508" s="46">
        <v>0</v>
      </c>
      <c r="H508" s="46">
        <v>0</v>
      </c>
      <c r="I508" s="46">
        <v>0</v>
      </c>
      <c r="J508" s="46">
        <v>0</v>
      </c>
      <c r="K508" s="61"/>
      <c r="L508" s="61"/>
      <c r="M508" s="61"/>
      <c r="N508" s="61"/>
      <c r="O508" s="61"/>
      <c r="P508" s="61"/>
      <c r="Q508" s="180"/>
      <c r="R508" s="28"/>
    </row>
    <row r="509" spans="1:18" x14ac:dyDescent="0.25">
      <c r="A509" s="167"/>
      <c r="B509" s="159"/>
      <c r="C509" s="159"/>
      <c r="D509" s="54" t="s">
        <v>13</v>
      </c>
      <c r="E509" s="46">
        <f>SUM(F509:J509)</f>
        <v>0</v>
      </c>
      <c r="F509" s="46">
        <v>0</v>
      </c>
      <c r="G509" s="46">
        <v>0</v>
      </c>
      <c r="H509" s="46">
        <v>0</v>
      </c>
      <c r="I509" s="46">
        <v>0</v>
      </c>
      <c r="J509" s="46">
        <v>0</v>
      </c>
      <c r="K509" s="61"/>
      <c r="L509" s="61"/>
      <c r="M509" s="61"/>
      <c r="N509" s="61"/>
      <c r="O509" s="61"/>
      <c r="P509" s="61"/>
      <c r="Q509" s="180"/>
      <c r="R509" s="28"/>
    </row>
    <row r="510" spans="1:18" x14ac:dyDescent="0.25">
      <c r="A510" s="168"/>
      <c r="B510" s="160"/>
      <c r="C510" s="160"/>
      <c r="D510" s="54" t="s">
        <v>14</v>
      </c>
      <c r="E510" s="46">
        <f>SUM(F510:J510)</f>
        <v>0</v>
      </c>
      <c r="F510" s="46">
        <v>0</v>
      </c>
      <c r="G510" s="46">
        <v>0</v>
      </c>
      <c r="H510" s="46">
        <v>0</v>
      </c>
      <c r="I510" s="46">
        <v>0</v>
      </c>
      <c r="J510" s="46">
        <v>0</v>
      </c>
      <c r="K510" s="61"/>
      <c r="L510" s="61"/>
      <c r="M510" s="61"/>
      <c r="N510" s="61"/>
      <c r="O510" s="61"/>
      <c r="P510" s="61"/>
      <c r="Q510" s="181"/>
      <c r="R510" s="28"/>
    </row>
    <row r="511" spans="1:18" ht="15" customHeight="1" x14ac:dyDescent="0.25">
      <c r="A511" s="166" t="s">
        <v>266</v>
      </c>
      <c r="B511" s="158" t="s">
        <v>267</v>
      </c>
      <c r="C511" s="158" t="s">
        <v>164</v>
      </c>
      <c r="D511" s="54" t="s">
        <v>9</v>
      </c>
      <c r="E511" s="46">
        <f t="shared" ref="E511:J511" si="108">SUM(E512:E516)</f>
        <v>130</v>
      </c>
      <c r="F511" s="46">
        <f t="shared" si="108"/>
        <v>130</v>
      </c>
      <c r="G511" s="46">
        <f t="shared" si="108"/>
        <v>0</v>
      </c>
      <c r="H511" s="46">
        <f t="shared" si="108"/>
        <v>0</v>
      </c>
      <c r="I511" s="46">
        <f t="shared" si="108"/>
        <v>0</v>
      </c>
      <c r="J511" s="46">
        <f t="shared" si="108"/>
        <v>0</v>
      </c>
      <c r="K511" s="61"/>
      <c r="L511" s="61"/>
      <c r="M511" s="61"/>
      <c r="N511" s="61"/>
      <c r="O511" s="61"/>
      <c r="P511" s="61"/>
      <c r="Q511" s="179" t="s">
        <v>233</v>
      </c>
      <c r="R511" s="28"/>
    </row>
    <row r="512" spans="1:18" x14ac:dyDescent="0.25">
      <c r="A512" s="167"/>
      <c r="B512" s="159"/>
      <c r="C512" s="159"/>
      <c r="D512" s="155" t="s">
        <v>10</v>
      </c>
      <c r="E512" s="156"/>
      <c r="F512" s="156"/>
      <c r="G512" s="156"/>
      <c r="H512" s="156"/>
      <c r="I512" s="156"/>
      <c r="J512" s="157"/>
      <c r="K512" s="61"/>
      <c r="L512" s="61"/>
      <c r="M512" s="61"/>
      <c r="N512" s="61"/>
      <c r="O512" s="61"/>
      <c r="P512" s="61"/>
      <c r="Q512" s="180"/>
      <c r="R512" s="28"/>
    </row>
    <row r="513" spans="1:18" x14ac:dyDescent="0.25">
      <c r="A513" s="167"/>
      <c r="B513" s="159"/>
      <c r="C513" s="159"/>
      <c r="D513" s="54" t="s">
        <v>11</v>
      </c>
      <c r="E513" s="46">
        <f>SUM(F513:J513)</f>
        <v>130</v>
      </c>
      <c r="F513" s="46">
        <v>130</v>
      </c>
      <c r="G513" s="46"/>
      <c r="H513" s="46"/>
      <c r="I513" s="46"/>
      <c r="J513" s="46"/>
      <c r="K513" s="61"/>
      <c r="L513" s="61"/>
      <c r="M513" s="61"/>
      <c r="N513" s="61"/>
      <c r="O513" s="61"/>
      <c r="P513" s="61"/>
      <c r="Q513" s="180"/>
      <c r="R513" s="28"/>
    </row>
    <row r="514" spans="1:18" x14ac:dyDescent="0.25">
      <c r="A514" s="167"/>
      <c r="B514" s="159"/>
      <c r="C514" s="159"/>
      <c r="D514" s="54" t="s">
        <v>12</v>
      </c>
      <c r="E514" s="46">
        <f>SUM(F514:J514)</f>
        <v>0</v>
      </c>
      <c r="F514" s="46"/>
      <c r="G514" s="46"/>
      <c r="H514" s="46"/>
      <c r="I514" s="46"/>
      <c r="J514" s="46"/>
      <c r="K514" s="61"/>
      <c r="L514" s="61"/>
      <c r="M514" s="61"/>
      <c r="N514" s="61"/>
      <c r="O514" s="61"/>
      <c r="P514" s="61"/>
      <c r="Q514" s="180"/>
      <c r="R514" s="28"/>
    </row>
    <row r="515" spans="1:18" x14ac:dyDescent="0.25">
      <c r="A515" s="167"/>
      <c r="B515" s="159"/>
      <c r="C515" s="159"/>
      <c r="D515" s="54" t="s">
        <v>13</v>
      </c>
      <c r="E515" s="46">
        <f>SUM(F515:J515)</f>
        <v>0</v>
      </c>
      <c r="F515" s="46"/>
      <c r="G515" s="46"/>
      <c r="H515" s="46"/>
      <c r="I515" s="46"/>
      <c r="J515" s="46"/>
      <c r="K515" s="61"/>
      <c r="L515" s="61"/>
      <c r="M515" s="61"/>
      <c r="N515" s="61"/>
      <c r="O515" s="61"/>
      <c r="P515" s="61"/>
      <c r="Q515" s="180"/>
      <c r="R515" s="28"/>
    </row>
    <row r="516" spans="1:18" x14ac:dyDescent="0.25">
      <c r="A516" s="168"/>
      <c r="B516" s="160"/>
      <c r="C516" s="160"/>
      <c r="D516" s="54" t="s">
        <v>14</v>
      </c>
      <c r="E516" s="46">
        <f>SUM(F516:J516)</f>
        <v>0</v>
      </c>
      <c r="F516" s="46"/>
      <c r="G516" s="46"/>
      <c r="H516" s="46"/>
      <c r="I516" s="46"/>
      <c r="J516" s="46"/>
      <c r="K516" s="61"/>
      <c r="L516" s="61"/>
      <c r="M516" s="61"/>
      <c r="N516" s="61"/>
      <c r="O516" s="61"/>
      <c r="P516" s="61"/>
      <c r="Q516" s="181"/>
      <c r="R516" s="28"/>
    </row>
    <row r="517" spans="1:18" ht="15" customHeight="1" x14ac:dyDescent="0.25">
      <c r="A517" s="166" t="s">
        <v>268</v>
      </c>
      <c r="B517" s="158" t="s">
        <v>269</v>
      </c>
      <c r="C517" s="158" t="s">
        <v>164</v>
      </c>
      <c r="D517" s="54" t="s">
        <v>9</v>
      </c>
      <c r="E517" s="46">
        <f t="shared" ref="E517:J517" si="109">SUM(E518:E522)</f>
        <v>800</v>
      </c>
      <c r="F517" s="46">
        <f t="shared" si="109"/>
        <v>800</v>
      </c>
      <c r="G517" s="46">
        <f t="shared" si="109"/>
        <v>0</v>
      </c>
      <c r="H517" s="46">
        <f t="shared" si="109"/>
        <v>0</v>
      </c>
      <c r="I517" s="46">
        <f t="shared" si="109"/>
        <v>0</v>
      </c>
      <c r="J517" s="46">
        <f t="shared" si="109"/>
        <v>0</v>
      </c>
      <c r="K517" s="61"/>
      <c r="L517" s="61"/>
      <c r="M517" s="61"/>
      <c r="N517" s="61"/>
      <c r="O517" s="61"/>
      <c r="P517" s="61"/>
      <c r="Q517" s="179" t="s">
        <v>80</v>
      </c>
      <c r="R517" s="28"/>
    </row>
    <row r="518" spans="1:18" x14ac:dyDescent="0.25">
      <c r="A518" s="167"/>
      <c r="B518" s="159"/>
      <c r="C518" s="159"/>
      <c r="D518" s="155" t="s">
        <v>10</v>
      </c>
      <c r="E518" s="156"/>
      <c r="F518" s="156"/>
      <c r="G518" s="156"/>
      <c r="H518" s="156"/>
      <c r="I518" s="156"/>
      <c r="J518" s="157"/>
      <c r="K518" s="61"/>
      <c r="L518" s="61"/>
      <c r="M518" s="61"/>
      <c r="N518" s="61"/>
      <c r="O518" s="61"/>
      <c r="P518" s="61"/>
      <c r="Q518" s="180"/>
      <c r="R518" s="28"/>
    </row>
    <row r="519" spans="1:18" x14ac:dyDescent="0.25">
      <c r="A519" s="167"/>
      <c r="B519" s="159"/>
      <c r="C519" s="159"/>
      <c r="D519" s="54" t="s">
        <v>11</v>
      </c>
      <c r="E519" s="46">
        <f>SUM(F519:J519)</f>
        <v>800</v>
      </c>
      <c r="F519" s="46">
        <v>800</v>
      </c>
      <c r="G519" s="46"/>
      <c r="H519" s="46"/>
      <c r="I519" s="46"/>
      <c r="J519" s="46"/>
      <c r="K519" s="61"/>
      <c r="L519" s="61"/>
      <c r="M519" s="61"/>
      <c r="N519" s="61"/>
      <c r="O519" s="61"/>
      <c r="P519" s="61"/>
      <c r="Q519" s="180"/>
      <c r="R519" s="28"/>
    </row>
    <row r="520" spans="1:18" x14ac:dyDescent="0.25">
      <c r="A520" s="167"/>
      <c r="B520" s="159"/>
      <c r="C520" s="159"/>
      <c r="D520" s="54" t="s">
        <v>12</v>
      </c>
      <c r="E520" s="46">
        <f>SUM(F520:J520)</f>
        <v>0</v>
      </c>
      <c r="F520" s="46"/>
      <c r="G520" s="46"/>
      <c r="H520" s="46"/>
      <c r="I520" s="46"/>
      <c r="J520" s="46"/>
      <c r="K520" s="61"/>
      <c r="L520" s="61"/>
      <c r="M520" s="61"/>
      <c r="N520" s="61"/>
      <c r="O520" s="61"/>
      <c r="P520" s="61"/>
      <c r="Q520" s="180"/>
      <c r="R520" s="28"/>
    </row>
    <row r="521" spans="1:18" x14ac:dyDescent="0.25">
      <c r="A521" s="167"/>
      <c r="B521" s="159"/>
      <c r="C521" s="159"/>
      <c r="D521" s="54" t="s">
        <v>13</v>
      </c>
      <c r="E521" s="46">
        <f>SUM(F521:J521)</f>
        <v>0</v>
      </c>
      <c r="F521" s="46"/>
      <c r="G521" s="46"/>
      <c r="H521" s="46"/>
      <c r="I521" s="46"/>
      <c r="J521" s="46"/>
      <c r="K521" s="61"/>
      <c r="L521" s="61"/>
      <c r="M521" s="61"/>
      <c r="N521" s="61"/>
      <c r="O521" s="61"/>
      <c r="P521" s="61"/>
      <c r="Q521" s="180"/>
      <c r="R521" s="28"/>
    </row>
    <row r="522" spans="1:18" x14ac:dyDescent="0.25">
      <c r="A522" s="168"/>
      <c r="B522" s="160"/>
      <c r="C522" s="160"/>
      <c r="D522" s="54" t="s">
        <v>14</v>
      </c>
      <c r="E522" s="46">
        <f>SUM(F522:J522)</f>
        <v>0</v>
      </c>
      <c r="F522" s="46"/>
      <c r="G522" s="46"/>
      <c r="H522" s="46"/>
      <c r="I522" s="46"/>
      <c r="J522" s="46"/>
      <c r="K522" s="61"/>
      <c r="L522" s="61"/>
      <c r="M522" s="61"/>
      <c r="N522" s="61"/>
      <c r="O522" s="61"/>
      <c r="P522" s="61"/>
      <c r="Q522" s="181"/>
      <c r="R522" s="28"/>
    </row>
    <row r="523" spans="1:18" ht="15" customHeight="1" x14ac:dyDescent="0.25">
      <c r="A523" s="166" t="s">
        <v>270</v>
      </c>
      <c r="B523" s="158" t="s">
        <v>271</v>
      </c>
      <c r="C523" s="158" t="s">
        <v>164</v>
      </c>
      <c r="D523" s="54" t="s">
        <v>9</v>
      </c>
      <c r="E523" s="46">
        <f t="shared" ref="E523:J523" si="110">SUM(E524:E528)</f>
        <v>400</v>
      </c>
      <c r="F523" s="46">
        <f t="shared" si="110"/>
        <v>400</v>
      </c>
      <c r="G523" s="46">
        <f t="shared" si="110"/>
        <v>0</v>
      </c>
      <c r="H523" s="46">
        <f t="shared" si="110"/>
        <v>0</v>
      </c>
      <c r="I523" s="46">
        <f t="shared" si="110"/>
        <v>0</v>
      </c>
      <c r="J523" s="46">
        <f t="shared" si="110"/>
        <v>0</v>
      </c>
      <c r="K523" s="61"/>
      <c r="L523" s="61"/>
      <c r="M523" s="61"/>
      <c r="N523" s="61"/>
      <c r="O523" s="61"/>
      <c r="P523" s="61"/>
      <c r="Q523" s="179" t="s">
        <v>80</v>
      </c>
      <c r="R523" s="28"/>
    </row>
    <row r="524" spans="1:18" x14ac:dyDescent="0.25">
      <c r="A524" s="167"/>
      <c r="B524" s="159"/>
      <c r="C524" s="159"/>
      <c r="D524" s="155" t="s">
        <v>10</v>
      </c>
      <c r="E524" s="156"/>
      <c r="F524" s="156"/>
      <c r="G524" s="156"/>
      <c r="H524" s="156"/>
      <c r="I524" s="156"/>
      <c r="J524" s="157"/>
      <c r="K524" s="61"/>
      <c r="L524" s="61"/>
      <c r="M524" s="61"/>
      <c r="N524" s="61"/>
      <c r="O524" s="61"/>
      <c r="P524" s="61"/>
      <c r="Q524" s="180"/>
      <c r="R524" s="28"/>
    </row>
    <row r="525" spans="1:18" x14ac:dyDescent="0.25">
      <c r="A525" s="167"/>
      <c r="B525" s="159"/>
      <c r="C525" s="159"/>
      <c r="D525" s="54" t="s">
        <v>11</v>
      </c>
      <c r="E525" s="46">
        <f>SUM(F525:J525)</f>
        <v>400</v>
      </c>
      <c r="F525" s="46">
        <v>400</v>
      </c>
      <c r="G525" s="46"/>
      <c r="H525" s="46"/>
      <c r="I525" s="46"/>
      <c r="J525" s="46"/>
      <c r="K525" s="61"/>
      <c r="L525" s="61"/>
      <c r="M525" s="61"/>
      <c r="N525" s="61"/>
      <c r="O525" s="61"/>
      <c r="P525" s="61"/>
      <c r="Q525" s="180"/>
      <c r="R525" s="28"/>
    </row>
    <row r="526" spans="1:18" x14ac:dyDescent="0.25">
      <c r="A526" s="167"/>
      <c r="B526" s="159"/>
      <c r="C526" s="159"/>
      <c r="D526" s="54" t="s">
        <v>12</v>
      </c>
      <c r="E526" s="46">
        <f>SUM(F526:J526)</f>
        <v>0</v>
      </c>
      <c r="F526" s="46"/>
      <c r="G526" s="46"/>
      <c r="H526" s="46"/>
      <c r="I526" s="46"/>
      <c r="J526" s="46"/>
      <c r="K526" s="61"/>
      <c r="L526" s="61"/>
      <c r="M526" s="61"/>
      <c r="N526" s="61"/>
      <c r="O526" s="61"/>
      <c r="P526" s="61"/>
      <c r="Q526" s="180"/>
      <c r="R526" s="28"/>
    </row>
    <row r="527" spans="1:18" x14ac:dyDescent="0.25">
      <c r="A527" s="167"/>
      <c r="B527" s="159"/>
      <c r="C527" s="159"/>
      <c r="D527" s="54" t="s">
        <v>13</v>
      </c>
      <c r="E527" s="46">
        <f>SUM(F527:J527)</f>
        <v>0</v>
      </c>
      <c r="F527" s="46"/>
      <c r="G527" s="46"/>
      <c r="H527" s="46"/>
      <c r="I527" s="46"/>
      <c r="J527" s="46"/>
      <c r="K527" s="61"/>
      <c r="L527" s="61"/>
      <c r="M527" s="61"/>
      <c r="N527" s="61"/>
      <c r="O527" s="61"/>
      <c r="P527" s="61"/>
      <c r="Q527" s="180"/>
      <c r="R527" s="28"/>
    </row>
    <row r="528" spans="1:18" x14ac:dyDescent="0.25">
      <c r="A528" s="168"/>
      <c r="B528" s="160"/>
      <c r="C528" s="160"/>
      <c r="D528" s="54" t="s">
        <v>14</v>
      </c>
      <c r="E528" s="46">
        <f>SUM(F528:J528)</f>
        <v>0</v>
      </c>
      <c r="F528" s="46"/>
      <c r="G528" s="46"/>
      <c r="H528" s="46"/>
      <c r="I528" s="46"/>
      <c r="J528" s="46"/>
      <c r="K528" s="61"/>
      <c r="L528" s="61"/>
      <c r="M528" s="61"/>
      <c r="N528" s="61"/>
      <c r="O528" s="61"/>
      <c r="P528" s="61"/>
      <c r="Q528" s="181"/>
      <c r="R528" s="28"/>
    </row>
    <row r="529" spans="1:18" ht="15" customHeight="1" x14ac:dyDescent="0.25">
      <c r="A529" s="166" t="s">
        <v>272</v>
      </c>
      <c r="B529" s="158" t="s">
        <v>273</v>
      </c>
      <c r="C529" s="158" t="s">
        <v>164</v>
      </c>
      <c r="D529" s="54" t="s">
        <v>9</v>
      </c>
      <c r="E529" s="46">
        <f t="shared" ref="E529:J529" si="111">SUM(E530:E534)</f>
        <v>56.4</v>
      </c>
      <c r="F529" s="46">
        <f t="shared" si="111"/>
        <v>56.4</v>
      </c>
      <c r="G529" s="46">
        <f t="shared" si="111"/>
        <v>0</v>
      </c>
      <c r="H529" s="46">
        <f t="shared" si="111"/>
        <v>0</v>
      </c>
      <c r="I529" s="46">
        <f t="shared" si="111"/>
        <v>0</v>
      </c>
      <c r="J529" s="46">
        <f t="shared" si="111"/>
        <v>0</v>
      </c>
      <c r="K529" s="61"/>
      <c r="L529" s="61"/>
      <c r="M529" s="61"/>
      <c r="N529" s="61"/>
      <c r="O529" s="61"/>
      <c r="P529" s="61"/>
      <c r="Q529" s="179" t="s">
        <v>274</v>
      </c>
      <c r="R529" s="28"/>
    </row>
    <row r="530" spans="1:18" x14ac:dyDescent="0.25">
      <c r="A530" s="167"/>
      <c r="B530" s="159"/>
      <c r="C530" s="159"/>
      <c r="D530" s="155" t="s">
        <v>10</v>
      </c>
      <c r="E530" s="156"/>
      <c r="F530" s="156"/>
      <c r="G530" s="156"/>
      <c r="H530" s="156"/>
      <c r="I530" s="156"/>
      <c r="J530" s="157"/>
      <c r="K530" s="61"/>
      <c r="L530" s="61"/>
      <c r="M530" s="61"/>
      <c r="N530" s="61"/>
      <c r="O530" s="61"/>
      <c r="P530" s="61"/>
      <c r="Q530" s="180"/>
      <c r="R530" s="28"/>
    </row>
    <row r="531" spans="1:18" x14ac:dyDescent="0.25">
      <c r="A531" s="167"/>
      <c r="B531" s="159"/>
      <c r="C531" s="159"/>
      <c r="D531" s="54" t="s">
        <v>11</v>
      </c>
      <c r="E531" s="46">
        <f>SUM(F531:J531)</f>
        <v>56.4</v>
      </c>
      <c r="F531" s="46">
        <v>56.4</v>
      </c>
      <c r="G531" s="46"/>
      <c r="H531" s="46"/>
      <c r="I531" s="46"/>
      <c r="J531" s="46"/>
      <c r="K531" s="61"/>
      <c r="L531" s="61"/>
      <c r="M531" s="61"/>
      <c r="N531" s="61"/>
      <c r="O531" s="61"/>
      <c r="P531" s="61"/>
      <c r="Q531" s="180"/>
      <c r="R531" s="28"/>
    </row>
    <row r="532" spans="1:18" x14ac:dyDescent="0.25">
      <c r="A532" s="167"/>
      <c r="B532" s="159"/>
      <c r="C532" s="159"/>
      <c r="D532" s="54" t="s">
        <v>12</v>
      </c>
      <c r="E532" s="46">
        <f>SUM(F532:J532)</f>
        <v>0</v>
      </c>
      <c r="F532" s="46"/>
      <c r="G532" s="46"/>
      <c r="H532" s="46"/>
      <c r="I532" s="46"/>
      <c r="J532" s="46"/>
      <c r="K532" s="61"/>
      <c r="L532" s="61"/>
      <c r="M532" s="61"/>
      <c r="N532" s="61"/>
      <c r="O532" s="61"/>
      <c r="P532" s="61"/>
      <c r="Q532" s="180"/>
      <c r="R532" s="28"/>
    </row>
    <row r="533" spans="1:18" x14ac:dyDescent="0.25">
      <c r="A533" s="167"/>
      <c r="B533" s="159"/>
      <c r="C533" s="159"/>
      <c r="D533" s="54" t="s">
        <v>13</v>
      </c>
      <c r="E533" s="46">
        <f>SUM(F533:J533)</f>
        <v>0</v>
      </c>
      <c r="F533" s="46"/>
      <c r="G533" s="46"/>
      <c r="H533" s="46"/>
      <c r="I533" s="46"/>
      <c r="J533" s="46"/>
      <c r="K533" s="61"/>
      <c r="L533" s="61"/>
      <c r="M533" s="61"/>
      <c r="N533" s="61"/>
      <c r="O533" s="61"/>
      <c r="P533" s="61"/>
      <c r="Q533" s="180"/>
      <c r="R533" s="28"/>
    </row>
    <row r="534" spans="1:18" x14ac:dyDescent="0.25">
      <c r="A534" s="168"/>
      <c r="B534" s="160"/>
      <c r="C534" s="160"/>
      <c r="D534" s="54" t="s">
        <v>14</v>
      </c>
      <c r="E534" s="46">
        <f>SUM(F534:J534)</f>
        <v>0</v>
      </c>
      <c r="F534" s="46"/>
      <c r="G534" s="46"/>
      <c r="H534" s="46"/>
      <c r="I534" s="46"/>
      <c r="J534" s="46"/>
      <c r="K534" s="61"/>
      <c r="L534" s="61"/>
      <c r="M534" s="61"/>
      <c r="N534" s="61"/>
      <c r="O534" s="61"/>
      <c r="P534" s="61"/>
      <c r="Q534" s="181"/>
      <c r="R534" s="28"/>
    </row>
    <row r="535" spans="1:18" x14ac:dyDescent="0.25">
      <c r="A535" s="166" t="s">
        <v>289</v>
      </c>
      <c r="B535" s="158" t="s">
        <v>290</v>
      </c>
      <c r="C535" s="158" t="s">
        <v>165</v>
      </c>
      <c r="D535" s="54" t="s">
        <v>9</v>
      </c>
      <c r="E535" s="46">
        <f t="shared" ref="E535:J535" si="112">SUM(E536:E540)</f>
        <v>999.22856000000002</v>
      </c>
      <c r="F535" s="46">
        <f t="shared" si="112"/>
        <v>0</v>
      </c>
      <c r="G535" s="46">
        <f t="shared" si="112"/>
        <v>999.22856000000002</v>
      </c>
      <c r="H535" s="46">
        <f t="shared" si="112"/>
        <v>0</v>
      </c>
      <c r="I535" s="46">
        <f t="shared" si="112"/>
        <v>0</v>
      </c>
      <c r="J535" s="46">
        <f t="shared" si="112"/>
        <v>0</v>
      </c>
      <c r="K535" s="61"/>
      <c r="L535" s="61"/>
      <c r="M535" s="61"/>
      <c r="N535" s="61"/>
      <c r="O535" s="61"/>
      <c r="P535" s="61"/>
      <c r="Q535" s="179" t="s">
        <v>291</v>
      </c>
      <c r="R535" s="28"/>
    </row>
    <row r="536" spans="1:18" x14ac:dyDescent="0.25">
      <c r="A536" s="167"/>
      <c r="B536" s="159"/>
      <c r="C536" s="159"/>
      <c r="D536" s="155" t="s">
        <v>10</v>
      </c>
      <c r="E536" s="156"/>
      <c r="F536" s="156"/>
      <c r="G536" s="156"/>
      <c r="H536" s="156"/>
      <c r="I536" s="156"/>
      <c r="J536" s="157"/>
      <c r="K536" s="61"/>
      <c r="L536" s="61"/>
      <c r="M536" s="61"/>
      <c r="N536" s="61"/>
      <c r="O536" s="61"/>
      <c r="P536" s="61"/>
      <c r="Q536" s="180"/>
      <c r="R536" s="28"/>
    </row>
    <row r="537" spans="1:18" x14ac:dyDescent="0.25">
      <c r="A537" s="167"/>
      <c r="B537" s="159"/>
      <c r="C537" s="159"/>
      <c r="D537" s="54" t="s">
        <v>11</v>
      </c>
      <c r="E537" s="46">
        <f>SUM(F537:J537)</f>
        <v>360.02204999999998</v>
      </c>
      <c r="F537" s="46"/>
      <c r="G537" s="46">
        <v>360.02204999999998</v>
      </c>
      <c r="H537" s="46"/>
      <c r="I537" s="46"/>
      <c r="J537" s="46"/>
      <c r="K537" s="61"/>
      <c r="L537" s="61"/>
      <c r="M537" s="61"/>
      <c r="N537" s="61"/>
      <c r="O537" s="61"/>
      <c r="P537" s="61"/>
      <c r="Q537" s="180"/>
      <c r="R537" s="28"/>
    </row>
    <row r="538" spans="1:18" x14ac:dyDescent="0.25">
      <c r="A538" s="167"/>
      <c r="B538" s="159"/>
      <c r="C538" s="159"/>
      <c r="D538" s="54" t="s">
        <v>12</v>
      </c>
      <c r="E538" s="46">
        <f>SUM(F538:J538)</f>
        <v>639.20650999999998</v>
      </c>
      <c r="F538" s="46"/>
      <c r="G538" s="46">
        <v>639.20650999999998</v>
      </c>
      <c r="H538" s="46"/>
      <c r="I538" s="46"/>
      <c r="J538" s="46"/>
      <c r="K538" s="61"/>
      <c r="L538" s="61"/>
      <c r="M538" s="61"/>
      <c r="N538" s="61"/>
      <c r="O538" s="61"/>
      <c r="P538" s="61"/>
      <c r="Q538" s="180"/>
      <c r="R538" s="28"/>
    </row>
    <row r="539" spans="1:18" x14ac:dyDescent="0.25">
      <c r="A539" s="167"/>
      <c r="B539" s="159"/>
      <c r="C539" s="159"/>
      <c r="D539" s="54" t="s">
        <v>13</v>
      </c>
      <c r="E539" s="46">
        <f>SUM(F539:J539)</f>
        <v>0</v>
      </c>
      <c r="F539" s="46"/>
      <c r="G539" s="46"/>
      <c r="H539" s="46"/>
      <c r="I539" s="46"/>
      <c r="J539" s="46"/>
      <c r="K539" s="61"/>
      <c r="L539" s="61"/>
      <c r="M539" s="61"/>
      <c r="N539" s="61"/>
      <c r="O539" s="61"/>
      <c r="P539" s="61"/>
      <c r="Q539" s="180"/>
      <c r="R539" s="28"/>
    </row>
    <row r="540" spans="1:18" x14ac:dyDescent="0.25">
      <c r="A540" s="168"/>
      <c r="B540" s="160"/>
      <c r="C540" s="160"/>
      <c r="D540" s="54" t="s">
        <v>14</v>
      </c>
      <c r="E540" s="46">
        <f>SUM(F540:J540)</f>
        <v>0</v>
      </c>
      <c r="F540" s="46"/>
      <c r="G540" s="46"/>
      <c r="H540" s="46"/>
      <c r="I540" s="46"/>
      <c r="J540" s="46"/>
      <c r="K540" s="61"/>
      <c r="L540" s="61"/>
      <c r="M540" s="61"/>
      <c r="N540" s="61"/>
      <c r="O540" s="61"/>
      <c r="P540" s="61"/>
      <c r="Q540" s="181"/>
      <c r="R540" s="28"/>
    </row>
    <row r="541" spans="1:18" x14ac:dyDescent="0.25">
      <c r="A541" s="166" t="s">
        <v>294</v>
      </c>
      <c r="B541" s="158" t="s">
        <v>295</v>
      </c>
      <c r="C541" s="158" t="s">
        <v>165</v>
      </c>
      <c r="D541" s="54" t="s">
        <v>9</v>
      </c>
      <c r="E541" s="46">
        <f t="shared" ref="E541:J541" si="113">SUM(E542:E546)</f>
        <v>625.29999999999995</v>
      </c>
      <c r="F541" s="46">
        <f t="shared" si="113"/>
        <v>0</v>
      </c>
      <c r="G541" s="46">
        <f t="shared" si="113"/>
        <v>625.29999999999995</v>
      </c>
      <c r="H541" s="46">
        <f t="shared" si="113"/>
        <v>0</v>
      </c>
      <c r="I541" s="46">
        <f t="shared" si="113"/>
        <v>0</v>
      </c>
      <c r="J541" s="46">
        <f t="shared" si="113"/>
        <v>0</v>
      </c>
      <c r="K541" s="61"/>
      <c r="L541" s="61"/>
      <c r="M541" s="61"/>
      <c r="N541" s="61"/>
      <c r="O541" s="61"/>
      <c r="P541" s="61"/>
      <c r="Q541" s="179" t="s">
        <v>82</v>
      </c>
      <c r="R541" s="28"/>
    </row>
    <row r="542" spans="1:18" x14ac:dyDescent="0.25">
      <c r="A542" s="167"/>
      <c r="B542" s="159"/>
      <c r="C542" s="159"/>
      <c r="D542" s="155" t="s">
        <v>10</v>
      </c>
      <c r="E542" s="156"/>
      <c r="F542" s="156"/>
      <c r="G542" s="156"/>
      <c r="H542" s="156"/>
      <c r="I542" s="156"/>
      <c r="J542" s="157"/>
      <c r="K542" s="61"/>
      <c r="L542" s="61"/>
      <c r="M542" s="61"/>
      <c r="N542" s="61"/>
      <c r="O542" s="61"/>
      <c r="P542" s="61"/>
      <c r="Q542" s="180"/>
      <c r="R542" s="28"/>
    </row>
    <row r="543" spans="1:18" x14ac:dyDescent="0.25">
      <c r="A543" s="167"/>
      <c r="B543" s="159"/>
      <c r="C543" s="159"/>
      <c r="D543" s="54" t="s">
        <v>11</v>
      </c>
      <c r="E543" s="46">
        <f>SUM(F543:J543)</f>
        <v>625.29999999999995</v>
      </c>
      <c r="F543" s="46"/>
      <c r="G543" s="46">
        <f>G549+G555</f>
        <v>625.29999999999995</v>
      </c>
      <c r="H543" s="46"/>
      <c r="I543" s="46"/>
      <c r="J543" s="46"/>
      <c r="K543" s="61"/>
      <c r="L543" s="61"/>
      <c r="M543" s="61"/>
      <c r="N543" s="61"/>
      <c r="O543" s="61"/>
      <c r="P543" s="61"/>
      <c r="Q543" s="180"/>
      <c r="R543" s="28"/>
    </row>
    <row r="544" spans="1:18" x14ac:dyDescent="0.25">
      <c r="A544" s="167"/>
      <c r="B544" s="159"/>
      <c r="C544" s="159"/>
      <c r="D544" s="54" t="s">
        <v>12</v>
      </c>
      <c r="E544" s="46">
        <f>SUM(F544:J544)</f>
        <v>0</v>
      </c>
      <c r="F544" s="46"/>
      <c r="G544" s="46"/>
      <c r="H544" s="46"/>
      <c r="I544" s="46"/>
      <c r="J544" s="46"/>
      <c r="K544" s="61"/>
      <c r="L544" s="61"/>
      <c r="M544" s="61"/>
      <c r="N544" s="61"/>
      <c r="O544" s="61"/>
      <c r="P544" s="61"/>
      <c r="Q544" s="180"/>
      <c r="R544" s="28"/>
    </row>
    <row r="545" spans="1:18" x14ac:dyDescent="0.25">
      <c r="A545" s="167"/>
      <c r="B545" s="159"/>
      <c r="C545" s="159"/>
      <c r="D545" s="54" t="s">
        <v>13</v>
      </c>
      <c r="E545" s="46">
        <f>SUM(F545:J545)</f>
        <v>0</v>
      </c>
      <c r="F545" s="46"/>
      <c r="G545" s="46"/>
      <c r="H545" s="46"/>
      <c r="I545" s="46"/>
      <c r="J545" s="46"/>
      <c r="K545" s="61"/>
      <c r="L545" s="61"/>
      <c r="M545" s="61"/>
      <c r="N545" s="61"/>
      <c r="O545" s="61"/>
      <c r="P545" s="61"/>
      <c r="Q545" s="180"/>
      <c r="R545" s="28"/>
    </row>
    <row r="546" spans="1:18" x14ac:dyDescent="0.25">
      <c r="A546" s="168"/>
      <c r="B546" s="160"/>
      <c r="C546" s="160"/>
      <c r="D546" s="54" t="s">
        <v>14</v>
      </c>
      <c r="E546" s="46">
        <f>SUM(F546:J546)</f>
        <v>0</v>
      </c>
      <c r="F546" s="46"/>
      <c r="G546" s="46"/>
      <c r="H546" s="46"/>
      <c r="I546" s="46"/>
      <c r="J546" s="46"/>
      <c r="K546" s="61"/>
      <c r="L546" s="61"/>
      <c r="M546" s="61"/>
      <c r="N546" s="61"/>
      <c r="O546" s="61"/>
      <c r="P546" s="61"/>
      <c r="Q546" s="181"/>
      <c r="R546" s="28"/>
    </row>
    <row r="547" spans="1:18" x14ac:dyDescent="0.25">
      <c r="A547" s="166"/>
      <c r="B547" s="158"/>
      <c r="C547" s="158" t="s">
        <v>165</v>
      </c>
      <c r="D547" s="54" t="s">
        <v>9</v>
      </c>
      <c r="E547" s="46">
        <f t="shared" ref="E547:J547" si="114">SUM(E548:E552)</f>
        <v>275.3</v>
      </c>
      <c r="F547" s="46">
        <f t="shared" si="114"/>
        <v>0</v>
      </c>
      <c r="G547" s="46">
        <f t="shared" si="114"/>
        <v>275.3</v>
      </c>
      <c r="H547" s="46">
        <f t="shared" si="114"/>
        <v>0</v>
      </c>
      <c r="I547" s="46">
        <f t="shared" si="114"/>
        <v>0</v>
      </c>
      <c r="J547" s="46">
        <f t="shared" si="114"/>
        <v>0</v>
      </c>
      <c r="K547" s="61"/>
      <c r="L547" s="61"/>
      <c r="M547" s="61"/>
      <c r="N547" s="61"/>
      <c r="O547" s="61"/>
      <c r="P547" s="61"/>
      <c r="Q547" s="179" t="s">
        <v>70</v>
      </c>
      <c r="R547" s="28"/>
    </row>
    <row r="548" spans="1:18" x14ac:dyDescent="0.25">
      <c r="A548" s="167"/>
      <c r="B548" s="159"/>
      <c r="C548" s="159"/>
      <c r="D548" s="155" t="s">
        <v>10</v>
      </c>
      <c r="E548" s="156"/>
      <c r="F548" s="156"/>
      <c r="G548" s="156"/>
      <c r="H548" s="156"/>
      <c r="I548" s="156"/>
      <c r="J548" s="157"/>
      <c r="K548" s="61"/>
      <c r="L548" s="61"/>
      <c r="M548" s="61"/>
      <c r="N548" s="61"/>
      <c r="O548" s="61"/>
      <c r="P548" s="61"/>
      <c r="Q548" s="180"/>
      <c r="R548" s="28"/>
    </row>
    <row r="549" spans="1:18" x14ac:dyDescent="0.25">
      <c r="A549" s="167"/>
      <c r="B549" s="159"/>
      <c r="C549" s="159"/>
      <c r="D549" s="54" t="s">
        <v>11</v>
      </c>
      <c r="E549" s="46">
        <f>SUM(F549:J549)</f>
        <v>275.3</v>
      </c>
      <c r="F549" s="46"/>
      <c r="G549" s="46">
        <v>275.3</v>
      </c>
      <c r="H549" s="46"/>
      <c r="I549" s="46"/>
      <c r="J549" s="46"/>
      <c r="K549" s="61"/>
      <c r="L549" s="61"/>
      <c r="M549" s="61"/>
      <c r="N549" s="61"/>
      <c r="O549" s="61"/>
      <c r="P549" s="61"/>
      <c r="Q549" s="180"/>
      <c r="R549" s="28"/>
    </row>
    <row r="550" spans="1:18" x14ac:dyDescent="0.25">
      <c r="A550" s="167"/>
      <c r="B550" s="159"/>
      <c r="C550" s="159"/>
      <c r="D550" s="54" t="s">
        <v>12</v>
      </c>
      <c r="E550" s="46">
        <f>SUM(F550:J550)</f>
        <v>0</v>
      </c>
      <c r="F550" s="46"/>
      <c r="G550" s="46"/>
      <c r="H550" s="46"/>
      <c r="I550" s="46"/>
      <c r="J550" s="46"/>
      <c r="K550" s="61"/>
      <c r="L550" s="61"/>
      <c r="M550" s="61"/>
      <c r="N550" s="61"/>
      <c r="O550" s="61"/>
      <c r="P550" s="61"/>
      <c r="Q550" s="180"/>
      <c r="R550" s="28"/>
    </row>
    <row r="551" spans="1:18" x14ac:dyDescent="0.25">
      <c r="A551" s="167"/>
      <c r="B551" s="159"/>
      <c r="C551" s="159"/>
      <c r="D551" s="54" t="s">
        <v>13</v>
      </c>
      <c r="E551" s="46">
        <f>SUM(F551:J551)</f>
        <v>0</v>
      </c>
      <c r="F551" s="46"/>
      <c r="G551" s="46"/>
      <c r="H551" s="46"/>
      <c r="I551" s="46"/>
      <c r="J551" s="46"/>
      <c r="K551" s="61"/>
      <c r="L551" s="61"/>
      <c r="M551" s="61"/>
      <c r="N551" s="61"/>
      <c r="O551" s="61"/>
      <c r="P551" s="61"/>
      <c r="Q551" s="180"/>
      <c r="R551" s="28"/>
    </row>
    <row r="552" spans="1:18" x14ac:dyDescent="0.25">
      <c r="A552" s="168"/>
      <c r="B552" s="160"/>
      <c r="C552" s="160"/>
      <c r="D552" s="54" t="s">
        <v>14</v>
      </c>
      <c r="E552" s="46">
        <f>SUM(F552:J552)</f>
        <v>0</v>
      </c>
      <c r="F552" s="46"/>
      <c r="G552" s="46"/>
      <c r="H552" s="46"/>
      <c r="I552" s="46"/>
      <c r="J552" s="46"/>
      <c r="K552" s="61"/>
      <c r="L552" s="61"/>
      <c r="M552" s="61"/>
      <c r="N552" s="61"/>
      <c r="O552" s="61"/>
      <c r="P552" s="61"/>
      <c r="Q552" s="181"/>
      <c r="R552" s="28"/>
    </row>
    <row r="553" spans="1:18" x14ac:dyDescent="0.25">
      <c r="A553" s="166"/>
      <c r="B553" s="158"/>
      <c r="C553" s="158" t="s">
        <v>165</v>
      </c>
      <c r="D553" s="54" t="s">
        <v>9</v>
      </c>
      <c r="E553" s="46">
        <f t="shared" ref="E553:J553" si="115">SUM(E554:E558)</f>
        <v>350</v>
      </c>
      <c r="F553" s="46">
        <f t="shared" si="115"/>
        <v>0</v>
      </c>
      <c r="G553" s="46">
        <f t="shared" si="115"/>
        <v>350</v>
      </c>
      <c r="H553" s="46">
        <f t="shared" si="115"/>
        <v>0</v>
      </c>
      <c r="I553" s="46">
        <f t="shared" si="115"/>
        <v>0</v>
      </c>
      <c r="J553" s="46">
        <f t="shared" si="115"/>
        <v>0</v>
      </c>
      <c r="K553" s="61"/>
      <c r="L553" s="61"/>
      <c r="M553" s="61"/>
      <c r="N553" s="61"/>
      <c r="O553" s="61"/>
      <c r="P553" s="61"/>
      <c r="Q553" s="179" t="s">
        <v>80</v>
      </c>
      <c r="R553" s="28"/>
    </row>
    <row r="554" spans="1:18" x14ac:dyDescent="0.25">
      <c r="A554" s="167"/>
      <c r="B554" s="159"/>
      <c r="C554" s="159"/>
      <c r="D554" s="155" t="s">
        <v>10</v>
      </c>
      <c r="E554" s="156"/>
      <c r="F554" s="156"/>
      <c r="G554" s="156"/>
      <c r="H554" s="156"/>
      <c r="I554" s="156"/>
      <c r="J554" s="157"/>
      <c r="K554" s="61"/>
      <c r="L554" s="61"/>
      <c r="M554" s="61"/>
      <c r="N554" s="61"/>
      <c r="O554" s="61"/>
      <c r="P554" s="61"/>
      <c r="Q554" s="180"/>
      <c r="R554" s="28"/>
    </row>
    <row r="555" spans="1:18" x14ac:dyDescent="0.25">
      <c r="A555" s="167"/>
      <c r="B555" s="159"/>
      <c r="C555" s="159"/>
      <c r="D555" s="54" t="s">
        <v>11</v>
      </c>
      <c r="E555" s="46">
        <f>SUM(F555:J555)</f>
        <v>350</v>
      </c>
      <c r="F555" s="46"/>
      <c r="G555" s="46">
        <v>350</v>
      </c>
      <c r="H555" s="46"/>
      <c r="I555" s="46"/>
      <c r="J555" s="46"/>
      <c r="K555" s="61"/>
      <c r="L555" s="61"/>
      <c r="M555" s="61"/>
      <c r="N555" s="61"/>
      <c r="O555" s="61"/>
      <c r="P555" s="61"/>
      <c r="Q555" s="180"/>
      <c r="R555" s="28"/>
    </row>
    <row r="556" spans="1:18" x14ac:dyDescent="0.25">
      <c r="A556" s="167"/>
      <c r="B556" s="159"/>
      <c r="C556" s="159"/>
      <c r="D556" s="54" t="s">
        <v>12</v>
      </c>
      <c r="E556" s="46">
        <f>SUM(F556:J556)</f>
        <v>0</v>
      </c>
      <c r="F556" s="46"/>
      <c r="G556" s="46"/>
      <c r="H556" s="46"/>
      <c r="I556" s="46"/>
      <c r="J556" s="46"/>
      <c r="K556" s="61"/>
      <c r="L556" s="61"/>
      <c r="M556" s="61"/>
      <c r="N556" s="61"/>
      <c r="O556" s="61"/>
      <c r="P556" s="61"/>
      <c r="Q556" s="180"/>
      <c r="R556" s="28"/>
    </row>
    <row r="557" spans="1:18" x14ac:dyDescent="0.25">
      <c r="A557" s="167"/>
      <c r="B557" s="159"/>
      <c r="C557" s="159"/>
      <c r="D557" s="54" t="s">
        <v>13</v>
      </c>
      <c r="E557" s="46">
        <f>SUM(F557:J557)</f>
        <v>0</v>
      </c>
      <c r="F557" s="46"/>
      <c r="G557" s="46"/>
      <c r="H557" s="46"/>
      <c r="I557" s="46"/>
      <c r="J557" s="46"/>
      <c r="K557" s="61"/>
      <c r="L557" s="61"/>
      <c r="M557" s="61"/>
      <c r="N557" s="61"/>
      <c r="O557" s="61"/>
      <c r="P557" s="61"/>
      <c r="Q557" s="180"/>
      <c r="R557" s="28"/>
    </row>
    <row r="558" spans="1:18" x14ac:dyDescent="0.25">
      <c r="A558" s="168"/>
      <c r="B558" s="160"/>
      <c r="C558" s="160"/>
      <c r="D558" s="54" t="s">
        <v>14</v>
      </c>
      <c r="E558" s="46">
        <f>SUM(F558:J558)</f>
        <v>0</v>
      </c>
      <c r="F558" s="46"/>
      <c r="G558" s="46"/>
      <c r="H558" s="46"/>
      <c r="I558" s="46"/>
      <c r="J558" s="46"/>
      <c r="K558" s="61"/>
      <c r="L558" s="61"/>
      <c r="M558" s="61"/>
      <c r="N558" s="61"/>
      <c r="O558" s="61"/>
      <c r="P558" s="61"/>
      <c r="Q558" s="181"/>
      <c r="R558" s="28"/>
    </row>
    <row r="559" spans="1:18" x14ac:dyDescent="0.25">
      <c r="A559" s="166" t="s">
        <v>296</v>
      </c>
      <c r="B559" s="158" t="s">
        <v>309</v>
      </c>
      <c r="C559" s="158" t="s">
        <v>165</v>
      </c>
      <c r="D559" s="54" t="s">
        <v>9</v>
      </c>
      <c r="E559" s="46">
        <f t="shared" ref="E559:J559" si="116">SUM(E560:E564)</f>
        <v>4472.6857</v>
      </c>
      <c r="F559" s="46">
        <f t="shared" si="116"/>
        <v>0</v>
      </c>
      <c r="G559" s="46">
        <f t="shared" si="116"/>
        <v>4472.6857</v>
      </c>
      <c r="H559" s="46">
        <f t="shared" si="116"/>
        <v>0</v>
      </c>
      <c r="I559" s="46">
        <f t="shared" si="116"/>
        <v>0</v>
      </c>
      <c r="J559" s="46">
        <f t="shared" si="116"/>
        <v>0</v>
      </c>
      <c r="K559" s="61"/>
      <c r="L559" s="61"/>
      <c r="M559" s="61"/>
      <c r="N559" s="61"/>
      <c r="O559" s="61"/>
      <c r="P559" s="61"/>
      <c r="Q559" s="179" t="s">
        <v>70</v>
      </c>
      <c r="R559" s="28"/>
    </row>
    <row r="560" spans="1:18" x14ac:dyDescent="0.25">
      <c r="A560" s="167"/>
      <c r="B560" s="159"/>
      <c r="C560" s="159"/>
      <c r="D560" s="155" t="s">
        <v>10</v>
      </c>
      <c r="E560" s="156"/>
      <c r="F560" s="156"/>
      <c r="G560" s="156"/>
      <c r="H560" s="156"/>
      <c r="I560" s="156"/>
      <c r="J560" s="157"/>
      <c r="K560" s="61"/>
      <c r="L560" s="61"/>
      <c r="M560" s="61"/>
      <c r="N560" s="61"/>
      <c r="O560" s="61"/>
      <c r="P560" s="61"/>
      <c r="Q560" s="180"/>
      <c r="R560" s="28"/>
    </row>
    <row r="561" spans="1:18" x14ac:dyDescent="0.25">
      <c r="A561" s="167"/>
      <c r="B561" s="159"/>
      <c r="C561" s="159"/>
      <c r="D561" s="54" t="s">
        <v>11</v>
      </c>
      <c r="E561" s="46">
        <f>SUM(F561:J561)</f>
        <v>223.63429999999994</v>
      </c>
      <c r="F561" s="46"/>
      <c r="G561" s="46">
        <f>159.59495+1280.787-1216.74765</f>
        <v>223.63429999999994</v>
      </c>
      <c r="H561" s="46"/>
      <c r="I561" s="46"/>
      <c r="J561" s="46"/>
      <c r="K561" s="61"/>
      <c r="L561" s="61"/>
      <c r="M561" s="61"/>
      <c r="N561" s="61"/>
      <c r="O561" s="61"/>
      <c r="P561" s="61"/>
      <c r="Q561" s="180"/>
      <c r="R561" s="28"/>
    </row>
    <row r="562" spans="1:18" x14ac:dyDescent="0.25">
      <c r="A562" s="167"/>
      <c r="B562" s="159"/>
      <c r="C562" s="159"/>
      <c r="D562" s="54" t="s">
        <v>12</v>
      </c>
      <c r="E562" s="46">
        <f>SUM(F562:J562)</f>
        <v>4249.0514000000003</v>
      </c>
      <c r="F562" s="46"/>
      <c r="G562" s="46">
        <f>3032.30405+1216.74735</f>
        <v>4249.0514000000003</v>
      </c>
      <c r="H562" s="46"/>
      <c r="I562" s="46"/>
      <c r="J562" s="46"/>
      <c r="K562" s="61"/>
      <c r="L562" s="61"/>
      <c r="M562" s="61"/>
      <c r="N562" s="61"/>
      <c r="O562" s="61"/>
      <c r="P562" s="61"/>
      <c r="Q562" s="180"/>
      <c r="R562" s="28"/>
    </row>
    <row r="563" spans="1:18" x14ac:dyDescent="0.25">
      <c r="A563" s="167"/>
      <c r="B563" s="159"/>
      <c r="C563" s="159"/>
      <c r="D563" s="54" t="s">
        <v>13</v>
      </c>
      <c r="E563" s="46">
        <f>SUM(F563:J563)</f>
        <v>0</v>
      </c>
      <c r="F563" s="46"/>
      <c r="G563" s="46"/>
      <c r="H563" s="46"/>
      <c r="I563" s="46"/>
      <c r="J563" s="46"/>
      <c r="K563" s="61"/>
      <c r="L563" s="61"/>
      <c r="M563" s="61"/>
      <c r="N563" s="61"/>
      <c r="O563" s="61"/>
      <c r="P563" s="61"/>
      <c r="Q563" s="180"/>
      <c r="R563" s="28"/>
    </row>
    <row r="564" spans="1:18" x14ac:dyDescent="0.25">
      <c r="A564" s="168"/>
      <c r="B564" s="160"/>
      <c r="C564" s="160"/>
      <c r="D564" s="54" t="s">
        <v>14</v>
      </c>
      <c r="E564" s="46">
        <f>SUM(F564:J564)</f>
        <v>0</v>
      </c>
      <c r="F564" s="46"/>
      <c r="G564" s="46"/>
      <c r="H564" s="46"/>
      <c r="I564" s="46"/>
      <c r="J564" s="46"/>
      <c r="K564" s="61"/>
      <c r="L564" s="61"/>
      <c r="M564" s="61"/>
      <c r="N564" s="61"/>
      <c r="O564" s="61"/>
      <c r="P564" s="61"/>
      <c r="Q564" s="181"/>
      <c r="R564" s="28"/>
    </row>
    <row r="565" spans="1:18" x14ac:dyDescent="0.25">
      <c r="A565" s="166" t="s">
        <v>298</v>
      </c>
      <c r="B565" s="158" t="s">
        <v>297</v>
      </c>
      <c r="C565" s="158" t="s">
        <v>165</v>
      </c>
      <c r="D565" s="54" t="s">
        <v>9</v>
      </c>
      <c r="E565" s="46">
        <f t="shared" ref="E565:J565" si="117">SUM(E566:E570)</f>
        <v>300</v>
      </c>
      <c r="F565" s="46">
        <f t="shared" si="117"/>
        <v>0</v>
      </c>
      <c r="G565" s="46">
        <f t="shared" si="117"/>
        <v>300</v>
      </c>
      <c r="H565" s="46">
        <f t="shared" si="117"/>
        <v>0</v>
      </c>
      <c r="I565" s="46">
        <f t="shared" si="117"/>
        <v>0</v>
      </c>
      <c r="J565" s="46">
        <f t="shared" si="117"/>
        <v>0</v>
      </c>
      <c r="K565" s="61"/>
      <c r="L565" s="61"/>
      <c r="M565" s="61"/>
      <c r="N565" s="61"/>
      <c r="O565" s="61"/>
      <c r="P565" s="61"/>
      <c r="Q565" s="179" t="s">
        <v>80</v>
      </c>
      <c r="R565" s="28"/>
    </row>
    <row r="566" spans="1:18" x14ac:dyDescent="0.25">
      <c r="A566" s="167"/>
      <c r="B566" s="159"/>
      <c r="C566" s="159"/>
      <c r="D566" s="155" t="s">
        <v>10</v>
      </c>
      <c r="E566" s="156"/>
      <c r="F566" s="156"/>
      <c r="G566" s="156"/>
      <c r="H566" s="156"/>
      <c r="I566" s="156"/>
      <c r="J566" s="157"/>
      <c r="K566" s="61"/>
      <c r="L566" s="61"/>
      <c r="M566" s="61"/>
      <c r="N566" s="61"/>
      <c r="O566" s="61"/>
      <c r="P566" s="61"/>
      <c r="Q566" s="180"/>
      <c r="R566" s="28"/>
    </row>
    <row r="567" spans="1:18" x14ac:dyDescent="0.25">
      <c r="A567" s="167"/>
      <c r="B567" s="159"/>
      <c r="C567" s="159"/>
      <c r="D567" s="54" t="s">
        <v>11</v>
      </c>
      <c r="E567" s="46">
        <f>SUM(F567:J567)</f>
        <v>300</v>
      </c>
      <c r="F567" s="46"/>
      <c r="G567" s="46">
        <v>300</v>
      </c>
      <c r="H567" s="46"/>
      <c r="I567" s="46"/>
      <c r="J567" s="46"/>
      <c r="K567" s="61"/>
      <c r="L567" s="61"/>
      <c r="M567" s="61"/>
      <c r="N567" s="61"/>
      <c r="O567" s="61"/>
      <c r="P567" s="61"/>
      <c r="Q567" s="180"/>
      <c r="R567" s="28"/>
    </row>
    <row r="568" spans="1:18" x14ac:dyDescent="0.25">
      <c r="A568" s="167"/>
      <c r="B568" s="159"/>
      <c r="C568" s="159"/>
      <c r="D568" s="54" t="s">
        <v>12</v>
      </c>
      <c r="E568" s="46">
        <f>SUM(F568:J568)</f>
        <v>0</v>
      </c>
      <c r="F568" s="46"/>
      <c r="G568" s="46"/>
      <c r="H568" s="46"/>
      <c r="I568" s="46"/>
      <c r="J568" s="46"/>
      <c r="K568" s="61"/>
      <c r="L568" s="61"/>
      <c r="M568" s="61"/>
      <c r="N568" s="61"/>
      <c r="O568" s="61"/>
      <c r="P568" s="61"/>
      <c r="Q568" s="180"/>
      <c r="R568" s="28"/>
    </row>
    <row r="569" spans="1:18" x14ac:dyDescent="0.25">
      <c r="A569" s="167"/>
      <c r="B569" s="159"/>
      <c r="C569" s="159"/>
      <c r="D569" s="54" t="s">
        <v>13</v>
      </c>
      <c r="E569" s="46">
        <f>SUM(F569:J569)</f>
        <v>0</v>
      </c>
      <c r="F569" s="46"/>
      <c r="G569" s="46"/>
      <c r="H569" s="46"/>
      <c r="I569" s="46"/>
      <c r="J569" s="46"/>
      <c r="K569" s="61"/>
      <c r="L569" s="61"/>
      <c r="M569" s="61"/>
      <c r="N569" s="61"/>
      <c r="O569" s="61"/>
      <c r="P569" s="61"/>
      <c r="Q569" s="180"/>
      <c r="R569" s="28"/>
    </row>
    <row r="570" spans="1:18" x14ac:dyDescent="0.25">
      <c r="A570" s="168"/>
      <c r="B570" s="160"/>
      <c r="C570" s="160"/>
      <c r="D570" s="54" t="s">
        <v>14</v>
      </c>
      <c r="E570" s="46">
        <f>SUM(F570:J570)</f>
        <v>0</v>
      </c>
      <c r="F570" s="46"/>
      <c r="G570" s="46"/>
      <c r="H570" s="46"/>
      <c r="I570" s="46"/>
      <c r="J570" s="46"/>
      <c r="K570" s="61"/>
      <c r="L570" s="61"/>
      <c r="M570" s="61"/>
      <c r="N570" s="61"/>
      <c r="O570" s="61"/>
      <c r="P570" s="61"/>
      <c r="Q570" s="181"/>
      <c r="R570" s="28"/>
    </row>
    <row r="571" spans="1:18" x14ac:dyDescent="0.25">
      <c r="A571" s="166" t="s">
        <v>305</v>
      </c>
      <c r="B571" s="158" t="s">
        <v>306</v>
      </c>
      <c r="C571" s="158" t="s">
        <v>165</v>
      </c>
      <c r="D571" s="54" t="s">
        <v>9</v>
      </c>
      <c r="E571" s="46">
        <f t="shared" ref="E571:J571" si="118">SUM(E572:E576)</f>
        <v>1188.6583499999999</v>
      </c>
      <c r="F571" s="46">
        <f t="shared" si="118"/>
        <v>0</v>
      </c>
      <c r="G571" s="46">
        <f t="shared" si="118"/>
        <v>1188.6583499999999</v>
      </c>
      <c r="H571" s="46">
        <f t="shared" si="118"/>
        <v>0</v>
      </c>
      <c r="I571" s="46">
        <f t="shared" si="118"/>
        <v>0</v>
      </c>
      <c r="J571" s="46">
        <f t="shared" si="118"/>
        <v>0</v>
      </c>
      <c r="K571" s="61"/>
      <c r="L571" s="61"/>
      <c r="M571" s="61"/>
      <c r="N571" s="61"/>
      <c r="O571" s="61"/>
      <c r="P571" s="61"/>
      <c r="Q571" s="179" t="s">
        <v>274</v>
      </c>
      <c r="R571" s="28"/>
    </row>
    <row r="572" spans="1:18" x14ac:dyDescent="0.25">
      <c r="A572" s="167"/>
      <c r="B572" s="159"/>
      <c r="C572" s="159"/>
      <c r="D572" s="155" t="s">
        <v>10</v>
      </c>
      <c r="E572" s="156"/>
      <c r="F572" s="156"/>
      <c r="G572" s="156"/>
      <c r="H572" s="156"/>
      <c r="I572" s="156"/>
      <c r="J572" s="157"/>
      <c r="K572" s="61"/>
      <c r="L572" s="61"/>
      <c r="M572" s="61"/>
      <c r="N572" s="61"/>
      <c r="O572" s="61"/>
      <c r="P572" s="61"/>
      <c r="Q572" s="180"/>
      <c r="R572" s="28"/>
    </row>
    <row r="573" spans="1:18" x14ac:dyDescent="0.25">
      <c r="A573" s="167"/>
      <c r="B573" s="159"/>
      <c r="C573" s="159"/>
      <c r="D573" s="54" t="s">
        <v>11</v>
      </c>
      <c r="E573" s="46">
        <f>SUM(F573:J573)</f>
        <v>59.433349999999997</v>
      </c>
      <c r="F573" s="46"/>
      <c r="G573" s="46">
        <v>59.433349999999997</v>
      </c>
      <c r="H573" s="46"/>
      <c r="I573" s="46"/>
      <c r="J573" s="46"/>
      <c r="K573" s="61"/>
      <c r="L573" s="61"/>
      <c r="M573" s="61"/>
      <c r="N573" s="61"/>
      <c r="O573" s="61"/>
      <c r="P573" s="61"/>
      <c r="Q573" s="180"/>
      <c r="R573" s="28"/>
    </row>
    <row r="574" spans="1:18" x14ac:dyDescent="0.25">
      <c r="A574" s="167"/>
      <c r="B574" s="159"/>
      <c r="C574" s="159"/>
      <c r="D574" s="54" t="s">
        <v>12</v>
      </c>
      <c r="E574" s="46">
        <f>SUM(F574:J574)</f>
        <v>1129.2249999999999</v>
      </c>
      <c r="F574" s="46"/>
      <c r="G574" s="46">
        <v>1129.2249999999999</v>
      </c>
      <c r="H574" s="46"/>
      <c r="I574" s="46"/>
      <c r="J574" s="46"/>
      <c r="K574" s="61"/>
      <c r="L574" s="61"/>
      <c r="M574" s="61"/>
      <c r="N574" s="61"/>
      <c r="O574" s="61"/>
      <c r="P574" s="61"/>
      <c r="Q574" s="180"/>
      <c r="R574" s="28"/>
    </row>
    <row r="575" spans="1:18" x14ac:dyDescent="0.25">
      <c r="A575" s="167"/>
      <c r="B575" s="159"/>
      <c r="C575" s="159"/>
      <c r="D575" s="54" t="s">
        <v>13</v>
      </c>
      <c r="E575" s="46">
        <f>SUM(F575:J575)</f>
        <v>0</v>
      </c>
      <c r="F575" s="46"/>
      <c r="G575" s="46"/>
      <c r="H575" s="46"/>
      <c r="I575" s="46"/>
      <c r="J575" s="46"/>
      <c r="K575" s="61"/>
      <c r="L575" s="61"/>
      <c r="M575" s="61"/>
      <c r="N575" s="61"/>
      <c r="O575" s="61"/>
      <c r="P575" s="61"/>
      <c r="Q575" s="180"/>
      <c r="R575" s="28"/>
    </row>
    <row r="576" spans="1:18" x14ac:dyDescent="0.25">
      <c r="A576" s="168"/>
      <c r="B576" s="160"/>
      <c r="C576" s="160"/>
      <c r="D576" s="54" t="s">
        <v>14</v>
      </c>
      <c r="E576" s="46">
        <f>SUM(F576:J576)</f>
        <v>0</v>
      </c>
      <c r="F576" s="46"/>
      <c r="G576" s="46"/>
      <c r="H576" s="46"/>
      <c r="I576" s="46"/>
      <c r="J576" s="46"/>
      <c r="K576" s="61"/>
      <c r="L576" s="61"/>
      <c r="M576" s="61"/>
      <c r="N576" s="61"/>
      <c r="O576" s="61"/>
      <c r="P576" s="61"/>
      <c r="Q576" s="181"/>
      <c r="R576" s="28"/>
    </row>
    <row r="577" spans="1:18" x14ac:dyDescent="0.25">
      <c r="A577" s="166" t="s">
        <v>382</v>
      </c>
      <c r="B577" s="158" t="s">
        <v>383</v>
      </c>
      <c r="C577" s="158" t="s">
        <v>165</v>
      </c>
      <c r="D577" s="54" t="s">
        <v>9</v>
      </c>
      <c r="E577" s="46">
        <f t="shared" ref="E577:J577" si="119">SUM(E578:E582)</f>
        <v>1275</v>
      </c>
      <c r="F577" s="46">
        <f t="shared" si="119"/>
        <v>0</v>
      </c>
      <c r="G577" s="46">
        <f t="shared" si="119"/>
        <v>1275</v>
      </c>
      <c r="H577" s="46">
        <f t="shared" si="119"/>
        <v>0</v>
      </c>
      <c r="I577" s="46">
        <f t="shared" si="119"/>
        <v>0</v>
      </c>
      <c r="J577" s="46">
        <f t="shared" si="119"/>
        <v>0</v>
      </c>
      <c r="K577" s="61"/>
      <c r="L577" s="61"/>
      <c r="M577" s="61"/>
      <c r="N577" s="61"/>
      <c r="O577" s="61"/>
      <c r="P577" s="61"/>
      <c r="Q577" s="179" t="s">
        <v>70</v>
      </c>
      <c r="R577" s="28"/>
    </row>
    <row r="578" spans="1:18" x14ac:dyDescent="0.25">
      <c r="A578" s="167"/>
      <c r="B578" s="159"/>
      <c r="C578" s="159"/>
      <c r="D578" s="155" t="s">
        <v>10</v>
      </c>
      <c r="E578" s="156"/>
      <c r="F578" s="156"/>
      <c r="G578" s="156"/>
      <c r="H578" s="156"/>
      <c r="I578" s="156"/>
      <c r="J578" s="157"/>
      <c r="K578" s="61"/>
      <c r="L578" s="61"/>
      <c r="M578" s="61"/>
      <c r="N578" s="61"/>
      <c r="O578" s="61"/>
      <c r="P578" s="61"/>
      <c r="Q578" s="180"/>
      <c r="R578" s="28"/>
    </row>
    <row r="579" spans="1:18" x14ac:dyDescent="0.25">
      <c r="A579" s="167"/>
      <c r="B579" s="159"/>
      <c r="C579" s="159"/>
      <c r="D579" s="54" t="s">
        <v>11</v>
      </c>
      <c r="E579" s="46">
        <f>SUM(F579:J579)</f>
        <v>25</v>
      </c>
      <c r="F579" s="46"/>
      <c r="G579" s="46">
        <v>25</v>
      </c>
      <c r="H579" s="46"/>
      <c r="I579" s="46"/>
      <c r="J579" s="46"/>
      <c r="K579" s="61"/>
      <c r="L579" s="61"/>
      <c r="M579" s="61"/>
      <c r="N579" s="61"/>
      <c r="O579" s="61"/>
      <c r="P579" s="61"/>
      <c r="Q579" s="180"/>
      <c r="R579" s="28"/>
    </row>
    <row r="580" spans="1:18" x14ac:dyDescent="0.25">
      <c r="A580" s="167"/>
      <c r="B580" s="159"/>
      <c r="C580" s="159"/>
      <c r="D580" s="54" t="s">
        <v>12</v>
      </c>
      <c r="E580" s="46">
        <f>SUM(F580:J580)</f>
        <v>0</v>
      </c>
      <c r="F580" s="46"/>
      <c r="G580" s="46"/>
      <c r="H580" s="46"/>
      <c r="I580" s="46"/>
      <c r="J580" s="46"/>
      <c r="K580" s="61"/>
      <c r="L580" s="61"/>
      <c r="M580" s="61"/>
      <c r="N580" s="61"/>
      <c r="O580" s="61"/>
      <c r="P580" s="61"/>
      <c r="Q580" s="180"/>
      <c r="R580" s="28"/>
    </row>
    <row r="581" spans="1:18" x14ac:dyDescent="0.25">
      <c r="A581" s="167"/>
      <c r="B581" s="159"/>
      <c r="C581" s="159"/>
      <c r="D581" s="54" t="s">
        <v>13</v>
      </c>
      <c r="E581" s="46">
        <f>SUM(F581:J581)</f>
        <v>0</v>
      </c>
      <c r="F581" s="46"/>
      <c r="G581" s="46"/>
      <c r="H581" s="46"/>
      <c r="I581" s="46"/>
      <c r="J581" s="46"/>
      <c r="K581" s="61"/>
      <c r="L581" s="61"/>
      <c r="M581" s="61"/>
      <c r="N581" s="61"/>
      <c r="O581" s="61"/>
      <c r="P581" s="61"/>
      <c r="Q581" s="180"/>
      <c r="R581" s="28"/>
    </row>
    <row r="582" spans="1:18" x14ac:dyDescent="0.25">
      <c r="A582" s="168"/>
      <c r="B582" s="160"/>
      <c r="C582" s="160"/>
      <c r="D582" s="54" t="s">
        <v>14</v>
      </c>
      <c r="E582" s="46">
        <f>SUM(F582:J582)</f>
        <v>1250</v>
      </c>
      <c r="F582" s="46"/>
      <c r="G582" s="46">
        <v>1250</v>
      </c>
      <c r="H582" s="46"/>
      <c r="I582" s="46"/>
      <c r="J582" s="46"/>
      <c r="K582" s="61"/>
      <c r="L582" s="61"/>
      <c r="M582" s="61"/>
      <c r="N582" s="61"/>
      <c r="O582" s="61"/>
      <c r="P582" s="61"/>
      <c r="Q582" s="181"/>
      <c r="R582" s="28"/>
    </row>
    <row r="583" spans="1:18" x14ac:dyDescent="0.25">
      <c r="A583" s="239"/>
      <c r="B583" s="213" t="s">
        <v>163</v>
      </c>
      <c r="C583" s="239"/>
      <c r="D583" s="54" t="s">
        <v>9</v>
      </c>
      <c r="E583" s="46">
        <f t="shared" ref="E583:J583" si="120">SUM(E584:E588)</f>
        <v>18174.889620000002</v>
      </c>
      <c r="F583" s="46">
        <f t="shared" si="120"/>
        <v>8379.3503600000004</v>
      </c>
      <c r="G583" s="46">
        <f t="shared" si="120"/>
        <v>9595.5392600000014</v>
      </c>
      <c r="H583" s="46">
        <f t="shared" si="120"/>
        <v>0</v>
      </c>
      <c r="I583" s="46">
        <f t="shared" si="120"/>
        <v>0</v>
      </c>
      <c r="J583" s="46">
        <f t="shared" si="120"/>
        <v>200</v>
      </c>
      <c r="K583" s="207"/>
      <c r="L583" s="207"/>
      <c r="M583" s="207"/>
      <c r="N583" s="207"/>
      <c r="O583" s="207"/>
      <c r="P583" s="207"/>
      <c r="Q583" s="161"/>
      <c r="R583" s="28"/>
    </row>
    <row r="584" spans="1:18" x14ac:dyDescent="0.25">
      <c r="A584" s="239"/>
      <c r="B584" s="213"/>
      <c r="C584" s="239"/>
      <c r="D584" s="155" t="s">
        <v>10</v>
      </c>
      <c r="E584" s="156"/>
      <c r="F584" s="156"/>
      <c r="G584" s="156"/>
      <c r="H584" s="156"/>
      <c r="I584" s="156"/>
      <c r="J584" s="157"/>
      <c r="K584" s="208"/>
      <c r="L584" s="208"/>
      <c r="M584" s="208"/>
      <c r="N584" s="208"/>
      <c r="O584" s="208"/>
      <c r="P584" s="208"/>
      <c r="Q584" s="162"/>
      <c r="R584" s="28"/>
    </row>
    <row r="585" spans="1:18" x14ac:dyDescent="0.25">
      <c r="A585" s="239"/>
      <c r="B585" s="213"/>
      <c r="C585" s="239"/>
      <c r="D585" s="54" t="s">
        <v>11</v>
      </c>
      <c r="E585" s="46">
        <f>SUM(F585:J585)</f>
        <v>9300.5867099999996</v>
      </c>
      <c r="F585" s="46">
        <f>F435+F429+F405+F387+F471+F489+F495+F501+F507+F513+F519+F525+F531+F537+F543+F561+F567+F573+F579</f>
        <v>6772.5303600000007</v>
      </c>
      <c r="G585" s="46">
        <f t="shared" ref="G585:J585" si="121">G435+G429+G405+G387+G471+G489+G495+G501+G507+G513+G519+G525+G531+G537+G543+G561+G567+G573+G579</f>
        <v>2328.0563499999998</v>
      </c>
      <c r="H585" s="46">
        <f t="shared" si="121"/>
        <v>0</v>
      </c>
      <c r="I585" s="46">
        <f t="shared" si="121"/>
        <v>0</v>
      </c>
      <c r="J585" s="46">
        <f t="shared" si="121"/>
        <v>200</v>
      </c>
      <c r="K585" s="208"/>
      <c r="L585" s="208"/>
      <c r="M585" s="208"/>
      <c r="N585" s="208"/>
      <c r="O585" s="208"/>
      <c r="P585" s="208"/>
      <c r="Q585" s="162"/>
      <c r="R585" s="28"/>
    </row>
    <row r="586" spans="1:18" x14ac:dyDescent="0.25">
      <c r="A586" s="239"/>
      <c r="B586" s="213"/>
      <c r="C586" s="239"/>
      <c r="D586" s="54" t="s">
        <v>12</v>
      </c>
      <c r="E586" s="46">
        <f>SUM(F586:J586)</f>
        <v>7624.3029100000003</v>
      </c>
      <c r="F586" s="46">
        <f t="shared" ref="F586:J588" si="122">F436+F430+F406+F388+F472+F490+F496+F502+F508+F514+F520+F526+F532+F538+F544+F562+F568+F574+F580</f>
        <v>1606.82</v>
      </c>
      <c r="G586" s="46">
        <f t="shared" si="122"/>
        <v>6017.4829100000006</v>
      </c>
      <c r="H586" s="46">
        <f t="shared" si="122"/>
        <v>0</v>
      </c>
      <c r="I586" s="46">
        <f t="shared" si="122"/>
        <v>0</v>
      </c>
      <c r="J586" s="46">
        <f t="shared" si="122"/>
        <v>0</v>
      </c>
      <c r="K586" s="208"/>
      <c r="L586" s="208"/>
      <c r="M586" s="208"/>
      <c r="N586" s="208"/>
      <c r="O586" s="208"/>
      <c r="P586" s="208"/>
      <c r="Q586" s="162"/>
      <c r="R586" s="28"/>
    </row>
    <row r="587" spans="1:18" x14ac:dyDescent="0.25">
      <c r="A587" s="239"/>
      <c r="B587" s="213"/>
      <c r="C587" s="239"/>
      <c r="D587" s="54" t="s">
        <v>13</v>
      </c>
      <c r="E587" s="46">
        <f>SUM(F587:J587)</f>
        <v>0</v>
      </c>
      <c r="F587" s="46">
        <f t="shared" si="122"/>
        <v>0</v>
      </c>
      <c r="G587" s="46">
        <f t="shared" si="122"/>
        <v>0</v>
      </c>
      <c r="H587" s="46">
        <f t="shared" si="122"/>
        <v>0</v>
      </c>
      <c r="I587" s="46">
        <f t="shared" si="122"/>
        <v>0</v>
      </c>
      <c r="J587" s="46">
        <f t="shared" si="122"/>
        <v>0</v>
      </c>
      <c r="K587" s="208"/>
      <c r="L587" s="208"/>
      <c r="M587" s="208"/>
      <c r="N587" s="208"/>
      <c r="O587" s="208"/>
      <c r="P587" s="208"/>
      <c r="Q587" s="162"/>
      <c r="R587" s="28"/>
    </row>
    <row r="588" spans="1:18" x14ac:dyDescent="0.25">
      <c r="A588" s="239"/>
      <c r="B588" s="213"/>
      <c r="C588" s="239"/>
      <c r="D588" s="54" t="s">
        <v>14</v>
      </c>
      <c r="E588" s="46">
        <f>SUM(F588:J588)</f>
        <v>1250</v>
      </c>
      <c r="F588" s="46">
        <f t="shared" si="122"/>
        <v>0</v>
      </c>
      <c r="G588" s="46">
        <f t="shared" si="122"/>
        <v>1250</v>
      </c>
      <c r="H588" s="46">
        <f t="shared" si="122"/>
        <v>0</v>
      </c>
      <c r="I588" s="46">
        <f t="shared" si="122"/>
        <v>0</v>
      </c>
      <c r="J588" s="46">
        <f t="shared" si="122"/>
        <v>0</v>
      </c>
      <c r="K588" s="209"/>
      <c r="L588" s="209"/>
      <c r="M588" s="209"/>
      <c r="N588" s="209"/>
      <c r="O588" s="209"/>
      <c r="P588" s="209"/>
      <c r="Q588" s="163"/>
      <c r="R588" s="28"/>
    </row>
    <row r="589" spans="1:18" ht="18" customHeight="1" x14ac:dyDescent="0.25">
      <c r="A589" s="239"/>
      <c r="B589" s="213" t="s">
        <v>162</v>
      </c>
      <c r="C589" s="239"/>
      <c r="D589" s="54" t="s">
        <v>9</v>
      </c>
      <c r="E589" s="46">
        <f t="shared" ref="E589:J589" si="123">SUM(E590:E594)</f>
        <v>66067.482970000012</v>
      </c>
      <c r="F589" s="46">
        <f t="shared" si="123"/>
        <v>32375.582270000003</v>
      </c>
      <c r="G589" s="46">
        <f t="shared" si="123"/>
        <v>23551.900699999998</v>
      </c>
      <c r="H589" s="46">
        <f t="shared" si="123"/>
        <v>0</v>
      </c>
      <c r="I589" s="46">
        <f t="shared" si="123"/>
        <v>0</v>
      </c>
      <c r="J589" s="46">
        <f t="shared" si="123"/>
        <v>10140</v>
      </c>
      <c r="K589" s="61"/>
      <c r="L589" s="61"/>
      <c r="M589" s="61"/>
      <c r="N589" s="61"/>
      <c r="O589" s="61"/>
      <c r="P589" s="61"/>
      <c r="Q589" s="161"/>
      <c r="R589" s="28"/>
    </row>
    <row r="590" spans="1:18" x14ac:dyDescent="0.25">
      <c r="A590" s="239"/>
      <c r="B590" s="213"/>
      <c r="C590" s="239"/>
      <c r="D590" s="155" t="s">
        <v>10</v>
      </c>
      <c r="E590" s="156"/>
      <c r="F590" s="156"/>
      <c r="G590" s="156"/>
      <c r="H590" s="156"/>
      <c r="I590" s="156"/>
      <c r="J590" s="157"/>
      <c r="K590" s="61"/>
      <c r="L590" s="61"/>
      <c r="M590" s="61"/>
      <c r="N590" s="61"/>
      <c r="O590" s="61"/>
      <c r="P590" s="61"/>
      <c r="Q590" s="162"/>
      <c r="R590" s="28"/>
    </row>
    <row r="591" spans="1:18" x14ac:dyDescent="0.25">
      <c r="A591" s="239"/>
      <c r="B591" s="213"/>
      <c r="C591" s="239"/>
      <c r="D591" s="54" t="s">
        <v>11</v>
      </c>
      <c r="E591" s="56">
        <f>J591+I591+H591+G591+F591</f>
        <v>35958.442410000003</v>
      </c>
      <c r="F591" s="50">
        <f t="shared" ref="F591:J594" si="124">F585+F380+F307+F180</f>
        <v>16182.397610000002</v>
      </c>
      <c r="G591" s="50">
        <f t="shared" si="124"/>
        <v>9636.0447999999997</v>
      </c>
      <c r="H591" s="50">
        <f t="shared" si="124"/>
        <v>0</v>
      </c>
      <c r="I591" s="50">
        <f t="shared" si="124"/>
        <v>0</v>
      </c>
      <c r="J591" s="50">
        <f t="shared" si="124"/>
        <v>10140</v>
      </c>
      <c r="K591" s="61"/>
      <c r="L591" s="61"/>
      <c r="M591" s="61"/>
      <c r="N591" s="61"/>
      <c r="O591" s="61"/>
      <c r="P591" s="61"/>
      <c r="Q591" s="162"/>
      <c r="R591" s="28"/>
    </row>
    <row r="592" spans="1:18" x14ac:dyDescent="0.25">
      <c r="A592" s="239"/>
      <c r="B592" s="213"/>
      <c r="C592" s="239"/>
      <c r="D592" s="54" t="s">
        <v>12</v>
      </c>
      <c r="E592" s="46">
        <f>SUM(F592:J592)</f>
        <v>25822.630300000001</v>
      </c>
      <c r="F592" s="50">
        <f t="shared" si="124"/>
        <v>13156.7744</v>
      </c>
      <c r="G592" s="50">
        <f t="shared" si="124"/>
        <v>12665.8559</v>
      </c>
      <c r="H592" s="50">
        <f t="shared" si="124"/>
        <v>0</v>
      </c>
      <c r="I592" s="50">
        <f t="shared" si="124"/>
        <v>0</v>
      </c>
      <c r="J592" s="50">
        <f t="shared" si="124"/>
        <v>0</v>
      </c>
      <c r="K592" s="61"/>
      <c r="L592" s="61"/>
      <c r="M592" s="61"/>
      <c r="N592" s="61"/>
      <c r="O592" s="61"/>
      <c r="P592" s="61"/>
      <c r="Q592" s="162"/>
    </row>
    <row r="593" spans="1:17" x14ac:dyDescent="0.25">
      <c r="A593" s="239"/>
      <c r="B593" s="213"/>
      <c r="C593" s="239"/>
      <c r="D593" s="54" t="s">
        <v>13</v>
      </c>
      <c r="E593" s="46">
        <f>SUM(F593:J593)</f>
        <v>3036.4102600000001</v>
      </c>
      <c r="F593" s="50">
        <f t="shared" si="124"/>
        <v>3036.4102600000001</v>
      </c>
      <c r="G593" s="50">
        <f t="shared" si="124"/>
        <v>0</v>
      </c>
      <c r="H593" s="50">
        <f t="shared" si="124"/>
        <v>0</v>
      </c>
      <c r="I593" s="50">
        <f t="shared" si="124"/>
        <v>0</v>
      </c>
      <c r="J593" s="50">
        <f t="shared" si="124"/>
        <v>0</v>
      </c>
      <c r="K593" s="54"/>
      <c r="L593" s="61"/>
      <c r="M593" s="61"/>
      <c r="N593" s="61"/>
      <c r="O593" s="61"/>
      <c r="P593" s="61"/>
      <c r="Q593" s="162"/>
    </row>
    <row r="594" spans="1:17" x14ac:dyDescent="0.25">
      <c r="A594" s="239"/>
      <c r="B594" s="213"/>
      <c r="C594" s="239"/>
      <c r="D594" s="54" t="s">
        <v>14</v>
      </c>
      <c r="E594" s="46">
        <f>SUM(F594:J594)</f>
        <v>1250</v>
      </c>
      <c r="F594" s="50">
        <f t="shared" si="124"/>
        <v>0</v>
      </c>
      <c r="G594" s="50">
        <f t="shared" si="124"/>
        <v>1250</v>
      </c>
      <c r="H594" s="50">
        <f t="shared" si="124"/>
        <v>0</v>
      </c>
      <c r="I594" s="50">
        <f t="shared" si="124"/>
        <v>0</v>
      </c>
      <c r="J594" s="50">
        <f t="shared" si="124"/>
        <v>0</v>
      </c>
      <c r="K594" s="61"/>
      <c r="L594" s="61"/>
      <c r="M594" s="61"/>
      <c r="N594" s="61"/>
      <c r="O594" s="61"/>
      <c r="P594" s="61"/>
      <c r="Q594" s="163"/>
    </row>
    <row r="595" spans="1:17" x14ac:dyDescent="0.25">
      <c r="A595" s="109"/>
      <c r="B595" s="28" t="s">
        <v>17</v>
      </c>
      <c r="C595" s="28"/>
      <c r="D595" s="28"/>
      <c r="E595" s="28"/>
      <c r="F595" s="101"/>
      <c r="G595" s="28"/>
      <c r="H595" s="28"/>
      <c r="I595" s="28"/>
      <c r="J595" s="28"/>
      <c r="K595" s="28"/>
      <c r="L595" s="28"/>
      <c r="M595" s="28"/>
      <c r="N595" s="28"/>
      <c r="O595" s="28"/>
      <c r="P595" s="28"/>
      <c r="Q595" s="59"/>
    </row>
    <row r="596" spans="1:17" x14ac:dyDescent="0.25">
      <c r="A596" s="109"/>
      <c r="B596" s="240" t="s">
        <v>18</v>
      </c>
      <c r="C596" s="240"/>
      <c r="D596" s="240"/>
      <c r="E596" s="240"/>
      <c r="F596" s="240"/>
      <c r="G596" s="240"/>
      <c r="H596" s="240"/>
      <c r="I596" s="240"/>
      <c r="J596" s="240"/>
      <c r="K596" s="240"/>
      <c r="L596" s="240"/>
      <c r="M596" s="240"/>
      <c r="N596" s="240"/>
      <c r="O596" s="240"/>
      <c r="P596" s="240"/>
      <c r="Q596" s="240"/>
    </row>
    <row r="597" spans="1:17" x14ac:dyDescent="0.25">
      <c r="A597" s="109"/>
      <c r="B597" s="241" t="s">
        <v>19</v>
      </c>
      <c r="C597" s="241"/>
      <c r="D597" s="241"/>
      <c r="E597" s="241"/>
      <c r="F597" s="241"/>
      <c r="G597" s="241"/>
      <c r="H597" s="241"/>
      <c r="I597" s="241"/>
      <c r="J597" s="241"/>
      <c r="K597" s="241"/>
      <c r="L597" s="241"/>
      <c r="M597" s="241"/>
      <c r="N597" s="241"/>
      <c r="O597" s="241"/>
      <c r="P597" s="241"/>
      <c r="Q597" s="241"/>
    </row>
  </sheetData>
  <mergeCells count="526">
    <mergeCell ref="B299:B304"/>
    <mergeCell ref="C299:C304"/>
    <mergeCell ref="Q299:Q304"/>
    <mergeCell ref="D300:J300"/>
    <mergeCell ref="A451:A456"/>
    <mergeCell ref="B451:B456"/>
    <mergeCell ref="C451:C456"/>
    <mergeCell ref="Q451:Q456"/>
    <mergeCell ref="C547:C552"/>
    <mergeCell ref="Q547:Q552"/>
    <mergeCell ref="D548:J548"/>
    <mergeCell ref="Q529:Q534"/>
    <mergeCell ref="D530:J530"/>
    <mergeCell ref="Q535:Q540"/>
    <mergeCell ref="D536:J536"/>
    <mergeCell ref="A517:A522"/>
    <mergeCell ref="B517:B522"/>
    <mergeCell ref="C517:C522"/>
    <mergeCell ref="Q517:Q522"/>
    <mergeCell ref="D518:J518"/>
    <mergeCell ref="A523:A528"/>
    <mergeCell ref="B523:B528"/>
    <mergeCell ref="C523:C528"/>
    <mergeCell ref="Q523:Q528"/>
    <mergeCell ref="A553:A558"/>
    <mergeCell ref="B553:B558"/>
    <mergeCell ref="C553:C558"/>
    <mergeCell ref="Q553:Q558"/>
    <mergeCell ref="D554:J554"/>
    <mergeCell ref="A172:A177"/>
    <mergeCell ref="B172:B177"/>
    <mergeCell ref="C172:C177"/>
    <mergeCell ref="Q172:Q177"/>
    <mergeCell ref="D173:J173"/>
    <mergeCell ref="A463:A468"/>
    <mergeCell ref="B463:B468"/>
    <mergeCell ref="C463:C468"/>
    <mergeCell ref="Q463:Q468"/>
    <mergeCell ref="D464:J464"/>
    <mergeCell ref="A293:A298"/>
    <mergeCell ref="B293:B298"/>
    <mergeCell ref="C293:C298"/>
    <mergeCell ref="Q293:Q298"/>
    <mergeCell ref="D294:J294"/>
    <mergeCell ref="A299:A304"/>
    <mergeCell ref="A529:A534"/>
    <mergeCell ref="B529:B534"/>
    <mergeCell ref="C529:C534"/>
    <mergeCell ref="D524:J524"/>
    <mergeCell ref="A589:A594"/>
    <mergeCell ref="B589:B594"/>
    <mergeCell ref="C589:C594"/>
    <mergeCell ref="Q589:Q594"/>
    <mergeCell ref="D590:J590"/>
    <mergeCell ref="B596:Q596"/>
    <mergeCell ref="B597:Q597"/>
    <mergeCell ref="A541:A546"/>
    <mergeCell ref="B541:B546"/>
    <mergeCell ref="C541:C546"/>
    <mergeCell ref="Q541:Q546"/>
    <mergeCell ref="D542:J542"/>
    <mergeCell ref="A559:A564"/>
    <mergeCell ref="B559:B564"/>
    <mergeCell ref="C559:C564"/>
    <mergeCell ref="Q559:Q564"/>
    <mergeCell ref="D560:J560"/>
    <mergeCell ref="A565:A570"/>
    <mergeCell ref="B565:B570"/>
    <mergeCell ref="C565:C570"/>
    <mergeCell ref="Q565:Q570"/>
    <mergeCell ref="D566:J566"/>
    <mergeCell ref="A547:A552"/>
    <mergeCell ref="B547:B552"/>
    <mergeCell ref="A275:A280"/>
    <mergeCell ref="B275:B280"/>
    <mergeCell ref="C275:C280"/>
    <mergeCell ref="Q275:Q280"/>
    <mergeCell ref="D276:J276"/>
    <mergeCell ref="A281:A286"/>
    <mergeCell ref="B281:B286"/>
    <mergeCell ref="C281:C286"/>
    <mergeCell ref="Q281:Q286"/>
    <mergeCell ref="A505:A510"/>
    <mergeCell ref="B505:B510"/>
    <mergeCell ref="C505:C510"/>
    <mergeCell ref="Q505:Q510"/>
    <mergeCell ref="D506:J506"/>
    <mergeCell ref="A511:A516"/>
    <mergeCell ref="B511:B516"/>
    <mergeCell ref="C511:C516"/>
    <mergeCell ref="Q511:Q516"/>
    <mergeCell ref="D512:J512"/>
    <mergeCell ref="A493:A498"/>
    <mergeCell ref="B493:B498"/>
    <mergeCell ref="C493:C498"/>
    <mergeCell ref="Q493:Q498"/>
    <mergeCell ref="A263:A268"/>
    <mergeCell ref="B263:B268"/>
    <mergeCell ref="C263:C268"/>
    <mergeCell ref="Q263:Q268"/>
    <mergeCell ref="D264:J264"/>
    <mergeCell ref="A269:A274"/>
    <mergeCell ref="B269:B274"/>
    <mergeCell ref="C269:C274"/>
    <mergeCell ref="Q269:Q274"/>
    <mergeCell ref="D270:J270"/>
    <mergeCell ref="A245:A250"/>
    <mergeCell ref="B245:B250"/>
    <mergeCell ref="C245:C250"/>
    <mergeCell ref="Q245:Q250"/>
    <mergeCell ref="D246:J246"/>
    <mergeCell ref="A409:A414"/>
    <mergeCell ref="B409:B414"/>
    <mergeCell ref="C409:C414"/>
    <mergeCell ref="Q409:Q414"/>
    <mergeCell ref="D410:J410"/>
    <mergeCell ref="D282:J282"/>
    <mergeCell ref="A287:A292"/>
    <mergeCell ref="B287:B292"/>
    <mergeCell ref="C287:C292"/>
    <mergeCell ref="Q287:Q292"/>
    <mergeCell ref="D288:J288"/>
    <mergeCell ref="K378:K383"/>
    <mergeCell ref="L378:L383"/>
    <mergeCell ref="M378:M383"/>
    <mergeCell ref="N378:N383"/>
    <mergeCell ref="O378:O383"/>
    <mergeCell ref="P378:P383"/>
    <mergeCell ref="Q378:Q383"/>
    <mergeCell ref="D379:J379"/>
    <mergeCell ref="A583:A588"/>
    <mergeCell ref="B583:B588"/>
    <mergeCell ref="C583:C588"/>
    <mergeCell ref="Q583:Q588"/>
    <mergeCell ref="D584:J584"/>
    <mergeCell ref="A535:A540"/>
    <mergeCell ref="B535:B540"/>
    <mergeCell ref="C535:C540"/>
    <mergeCell ref="K583:K588"/>
    <mergeCell ref="L583:L588"/>
    <mergeCell ref="M583:M588"/>
    <mergeCell ref="N583:N588"/>
    <mergeCell ref="O583:O588"/>
    <mergeCell ref="P583:P588"/>
    <mergeCell ref="A571:A576"/>
    <mergeCell ref="B571:B576"/>
    <mergeCell ref="C571:C576"/>
    <mergeCell ref="A577:A582"/>
    <mergeCell ref="B577:B582"/>
    <mergeCell ref="C577:C582"/>
    <mergeCell ref="Q577:Q582"/>
    <mergeCell ref="D578:J578"/>
    <mergeCell ref="Q571:Q576"/>
    <mergeCell ref="D572:J572"/>
    <mergeCell ref="D494:J494"/>
    <mergeCell ref="A499:A504"/>
    <mergeCell ref="B499:B504"/>
    <mergeCell ref="C499:C504"/>
    <mergeCell ref="Q499:Q504"/>
    <mergeCell ref="D500:J500"/>
    <mergeCell ref="A481:A486"/>
    <mergeCell ref="B481:B486"/>
    <mergeCell ref="C481:C486"/>
    <mergeCell ref="Q481:Q486"/>
    <mergeCell ref="D482:J482"/>
    <mergeCell ref="A487:A492"/>
    <mergeCell ref="B487:B492"/>
    <mergeCell ref="C487:C492"/>
    <mergeCell ref="Q487:Q492"/>
    <mergeCell ref="D488:J488"/>
    <mergeCell ref="A469:A474"/>
    <mergeCell ref="B469:B474"/>
    <mergeCell ref="C469:C474"/>
    <mergeCell ref="Q469:Q474"/>
    <mergeCell ref="D470:J470"/>
    <mergeCell ref="A475:A480"/>
    <mergeCell ref="B475:B480"/>
    <mergeCell ref="C475:C480"/>
    <mergeCell ref="Q475:Q480"/>
    <mergeCell ref="D476:J476"/>
    <mergeCell ref="A445:A450"/>
    <mergeCell ref="B445:B450"/>
    <mergeCell ref="C445:C450"/>
    <mergeCell ref="Q445:Q450"/>
    <mergeCell ref="D446:J446"/>
    <mergeCell ref="A457:A462"/>
    <mergeCell ref="B457:B462"/>
    <mergeCell ref="C457:C462"/>
    <mergeCell ref="Q457:Q462"/>
    <mergeCell ref="D458:J458"/>
    <mergeCell ref="D452:J452"/>
    <mergeCell ref="A342:A347"/>
    <mergeCell ref="B342:B347"/>
    <mergeCell ref="C342:C347"/>
    <mergeCell ref="Q342:Q347"/>
    <mergeCell ref="D343:J343"/>
    <mergeCell ref="B439:B444"/>
    <mergeCell ref="C439:C444"/>
    <mergeCell ref="Q439:Q444"/>
    <mergeCell ref="D440:J440"/>
    <mergeCell ref="B378:B383"/>
    <mergeCell ref="C378:C383"/>
    <mergeCell ref="C360:C365"/>
    <mergeCell ref="A439:A444"/>
    <mergeCell ref="B384:Q384"/>
    <mergeCell ref="A348:A353"/>
    <mergeCell ref="B348:B353"/>
    <mergeCell ref="C348:C353"/>
    <mergeCell ref="Q348:Q353"/>
    <mergeCell ref="D349:J349"/>
    <mergeCell ref="A354:A359"/>
    <mergeCell ref="B354:B359"/>
    <mergeCell ref="C354:C359"/>
    <mergeCell ref="Q354:Q359"/>
    <mergeCell ref="D355:J355"/>
    <mergeCell ref="A318:A323"/>
    <mergeCell ref="B318:B323"/>
    <mergeCell ref="C318:C323"/>
    <mergeCell ref="Q318:Q323"/>
    <mergeCell ref="D319:J319"/>
    <mergeCell ref="B336:B341"/>
    <mergeCell ref="C336:C341"/>
    <mergeCell ref="Q336:Q341"/>
    <mergeCell ref="D337:J337"/>
    <mergeCell ref="Q360:Q365"/>
    <mergeCell ref="D361:J361"/>
    <mergeCell ref="A366:A371"/>
    <mergeCell ref="B366:B371"/>
    <mergeCell ref="C366:C371"/>
    <mergeCell ref="Q366:Q371"/>
    <mergeCell ref="D367:J367"/>
    <mergeCell ref="A378:A383"/>
    <mergeCell ref="A372:A377"/>
    <mergeCell ref="B372:B377"/>
    <mergeCell ref="C372:C377"/>
    <mergeCell ref="Q372:Q377"/>
    <mergeCell ref="D373:J373"/>
    <mergeCell ref="B403:B408"/>
    <mergeCell ref="C403:C408"/>
    <mergeCell ref="Q403:Q408"/>
    <mergeCell ref="D386:J386"/>
    <mergeCell ref="A166:A171"/>
    <mergeCell ref="B166:B171"/>
    <mergeCell ref="C166:C171"/>
    <mergeCell ref="Q166:Q171"/>
    <mergeCell ref="D167:J167"/>
    <mergeCell ref="A178:A183"/>
    <mergeCell ref="B178:B183"/>
    <mergeCell ref="C178:C183"/>
    <mergeCell ref="K178:K183"/>
    <mergeCell ref="L178:L183"/>
    <mergeCell ref="M178:M183"/>
    <mergeCell ref="N178:N183"/>
    <mergeCell ref="O178:O183"/>
    <mergeCell ref="P178:P183"/>
    <mergeCell ref="Q178:Q183"/>
    <mergeCell ref="D179:J179"/>
    <mergeCell ref="Q257:Q262"/>
    <mergeCell ref="D258:J258"/>
    <mergeCell ref="A305:A310"/>
    <mergeCell ref="B305:B310"/>
    <mergeCell ref="A130:A135"/>
    <mergeCell ref="B130:B135"/>
    <mergeCell ref="C130:C135"/>
    <mergeCell ref="Q130:Q135"/>
    <mergeCell ref="D131:J131"/>
    <mergeCell ref="A148:A153"/>
    <mergeCell ref="B148:B153"/>
    <mergeCell ref="C148:C153"/>
    <mergeCell ref="Q148:Q153"/>
    <mergeCell ref="D149:J149"/>
    <mergeCell ref="A136:A141"/>
    <mergeCell ref="B136:B141"/>
    <mergeCell ref="C136:C141"/>
    <mergeCell ref="Q136:Q141"/>
    <mergeCell ref="D137:J137"/>
    <mergeCell ref="A142:A147"/>
    <mergeCell ref="B142:B147"/>
    <mergeCell ref="C142:C147"/>
    <mergeCell ref="Q142:Q147"/>
    <mergeCell ref="D143:J143"/>
    <mergeCell ref="Q239:Q244"/>
    <mergeCell ref="C209:C214"/>
    <mergeCell ref="D198:J198"/>
    <mergeCell ref="B197:B202"/>
    <mergeCell ref="C197:C202"/>
    <mergeCell ref="Q197:Q202"/>
    <mergeCell ref="Q154:Q159"/>
    <mergeCell ref="A360:A365"/>
    <mergeCell ref="B360:B365"/>
    <mergeCell ref="A154:A159"/>
    <mergeCell ref="B154:B159"/>
    <mergeCell ref="C154:C159"/>
    <mergeCell ref="D155:J155"/>
    <mergeCell ref="C305:C310"/>
    <mergeCell ref="K305:K310"/>
    <mergeCell ref="L305:L310"/>
    <mergeCell ref="M305:M310"/>
    <mergeCell ref="N305:N310"/>
    <mergeCell ref="O305:O310"/>
    <mergeCell ref="P305:P310"/>
    <mergeCell ref="Q305:Q310"/>
    <mergeCell ref="D306:J306"/>
    <mergeCell ref="B311:Q311"/>
    <mergeCell ref="A336:A341"/>
    <mergeCell ref="A118:A123"/>
    <mergeCell ref="B118:B123"/>
    <mergeCell ref="C118:C123"/>
    <mergeCell ref="Q118:Q123"/>
    <mergeCell ref="D119:J119"/>
    <mergeCell ref="A124:A129"/>
    <mergeCell ref="B124:B129"/>
    <mergeCell ref="C124:C129"/>
    <mergeCell ref="Q124:Q129"/>
    <mergeCell ref="D125:J125"/>
    <mergeCell ref="A28:A33"/>
    <mergeCell ref="B28:B33"/>
    <mergeCell ref="C28:C33"/>
    <mergeCell ref="Q28:Q33"/>
    <mergeCell ref="D29:J29"/>
    <mergeCell ref="A100:A105"/>
    <mergeCell ref="B100:B105"/>
    <mergeCell ref="C100:C105"/>
    <mergeCell ref="Q100:Q105"/>
    <mergeCell ref="D101:J101"/>
    <mergeCell ref="A46:A51"/>
    <mergeCell ref="B46:B51"/>
    <mergeCell ref="C46:C51"/>
    <mergeCell ref="Q46:Q51"/>
    <mergeCell ref="D47:J47"/>
    <mergeCell ref="A34:A39"/>
    <mergeCell ref="B34:B39"/>
    <mergeCell ref="C34:C39"/>
    <mergeCell ref="Q34:Q39"/>
    <mergeCell ref="D35:J35"/>
    <mergeCell ref="A40:A45"/>
    <mergeCell ref="B40:B45"/>
    <mergeCell ref="C40:C45"/>
    <mergeCell ref="Q40:Q45"/>
    <mergeCell ref="A16:A21"/>
    <mergeCell ref="B16:B21"/>
    <mergeCell ref="C16:C21"/>
    <mergeCell ref="Q16:Q21"/>
    <mergeCell ref="D17:J17"/>
    <mergeCell ref="A22:A27"/>
    <mergeCell ref="B22:B27"/>
    <mergeCell ref="C22:C27"/>
    <mergeCell ref="Q22:Q27"/>
    <mergeCell ref="D23:J23"/>
    <mergeCell ref="D41:J41"/>
    <mergeCell ref="A94:A99"/>
    <mergeCell ref="B94:B99"/>
    <mergeCell ref="C94:C99"/>
    <mergeCell ref="Q94:Q99"/>
    <mergeCell ref="D95:J95"/>
    <mergeCell ref="A52:A57"/>
    <mergeCell ref="B52:B57"/>
    <mergeCell ref="C52:C57"/>
    <mergeCell ref="Q52:Q57"/>
    <mergeCell ref="D53:J53"/>
    <mergeCell ref="A82:A87"/>
    <mergeCell ref="B82:B87"/>
    <mergeCell ref="C82:C87"/>
    <mergeCell ref="Q82:Q87"/>
    <mergeCell ref="D83:J83"/>
    <mergeCell ref="A88:A93"/>
    <mergeCell ref="B88:B93"/>
    <mergeCell ref="C88:C93"/>
    <mergeCell ref="Q88:Q93"/>
    <mergeCell ref="D89:J89"/>
    <mergeCell ref="A64:A69"/>
    <mergeCell ref="B64:B69"/>
    <mergeCell ref="A58:A63"/>
    <mergeCell ref="B427:B432"/>
    <mergeCell ref="C427:C432"/>
    <mergeCell ref="A415:A420"/>
    <mergeCell ref="A397:A402"/>
    <mergeCell ref="B397:B402"/>
    <mergeCell ref="C397:C402"/>
    <mergeCell ref="Q397:Q402"/>
    <mergeCell ref="D398:J398"/>
    <mergeCell ref="A391:A396"/>
    <mergeCell ref="B391:B396"/>
    <mergeCell ref="C391:C396"/>
    <mergeCell ref="Q391:Q396"/>
    <mergeCell ref="D392:J392"/>
    <mergeCell ref="D404:J404"/>
    <mergeCell ref="B415:B420"/>
    <mergeCell ref="C415:C420"/>
    <mergeCell ref="Q415:Q420"/>
    <mergeCell ref="D416:J416"/>
    <mergeCell ref="A421:A426"/>
    <mergeCell ref="B421:B426"/>
    <mergeCell ref="C421:C426"/>
    <mergeCell ref="Q421:Q426"/>
    <mergeCell ref="D422:J422"/>
    <mergeCell ref="A403:A408"/>
    <mergeCell ref="A239:A244"/>
    <mergeCell ref="B239:B244"/>
    <mergeCell ref="C239:C244"/>
    <mergeCell ref="D240:J240"/>
    <mergeCell ref="C70:C75"/>
    <mergeCell ref="Q70:Q75"/>
    <mergeCell ref="D71:J71"/>
    <mergeCell ref="A191:A196"/>
    <mergeCell ref="B191:B196"/>
    <mergeCell ref="Q191:Q196"/>
    <mergeCell ref="D192:J192"/>
    <mergeCell ref="A106:A111"/>
    <mergeCell ref="A227:A232"/>
    <mergeCell ref="B227:B232"/>
    <mergeCell ref="D228:J228"/>
    <mergeCell ref="A209:A214"/>
    <mergeCell ref="B209:B214"/>
    <mergeCell ref="Q209:Q214"/>
    <mergeCell ref="D210:J210"/>
    <mergeCell ref="A197:A202"/>
    <mergeCell ref="B106:B111"/>
    <mergeCell ref="C106:C111"/>
    <mergeCell ref="Q106:Q111"/>
    <mergeCell ref="D107:J107"/>
    <mergeCell ref="B58:B63"/>
    <mergeCell ref="C58:C63"/>
    <mergeCell ref="Q58:Q63"/>
    <mergeCell ref="D59:J59"/>
    <mergeCell ref="A160:A165"/>
    <mergeCell ref="B160:B165"/>
    <mergeCell ref="C160:C165"/>
    <mergeCell ref="Q160:Q165"/>
    <mergeCell ref="D161:J161"/>
    <mergeCell ref="A76:A81"/>
    <mergeCell ref="Q64:Q69"/>
    <mergeCell ref="D65:J65"/>
    <mergeCell ref="B76:B81"/>
    <mergeCell ref="C76:C81"/>
    <mergeCell ref="Q76:Q81"/>
    <mergeCell ref="D77:J77"/>
    <mergeCell ref="A70:A75"/>
    <mergeCell ref="B70:B75"/>
    <mergeCell ref="C64:C69"/>
    <mergeCell ref="A112:A117"/>
    <mergeCell ref="B112:B117"/>
    <mergeCell ref="C112:C117"/>
    <mergeCell ref="Q112:Q117"/>
    <mergeCell ref="D113:J113"/>
    <mergeCell ref="A185:A190"/>
    <mergeCell ref="B185:B190"/>
    <mergeCell ref="C185:C190"/>
    <mergeCell ref="Q185:Q190"/>
    <mergeCell ref="D186:J186"/>
    <mergeCell ref="A203:A208"/>
    <mergeCell ref="B203:B208"/>
    <mergeCell ref="C203:C208"/>
    <mergeCell ref="Q203:Q208"/>
    <mergeCell ref="A221:A226"/>
    <mergeCell ref="B221:B226"/>
    <mergeCell ref="C221:C226"/>
    <mergeCell ref="A215:A220"/>
    <mergeCell ref="B215:B220"/>
    <mergeCell ref="C215:C220"/>
    <mergeCell ref="D222:J222"/>
    <mergeCell ref="O1:Q1"/>
    <mergeCell ref="A10:A15"/>
    <mergeCell ref="B10:B15"/>
    <mergeCell ref="C10:C15"/>
    <mergeCell ref="Q10:Q15"/>
    <mergeCell ref="D11:J11"/>
    <mergeCell ref="A3:Q3"/>
    <mergeCell ref="A5:A6"/>
    <mergeCell ref="B5:B6"/>
    <mergeCell ref="I2:Q2"/>
    <mergeCell ref="C5:C6"/>
    <mergeCell ref="D5:D6"/>
    <mergeCell ref="E5:J5"/>
    <mergeCell ref="K5:P5"/>
    <mergeCell ref="Q5:Q6"/>
    <mergeCell ref="B8:Q8"/>
    <mergeCell ref="B9:Q9"/>
    <mergeCell ref="B184:Q184"/>
    <mergeCell ref="A324:A329"/>
    <mergeCell ref="B324:B329"/>
    <mergeCell ref="A233:A238"/>
    <mergeCell ref="B233:B238"/>
    <mergeCell ref="C233:C238"/>
    <mergeCell ref="Q233:Q238"/>
    <mergeCell ref="D234:J234"/>
    <mergeCell ref="C330:C335"/>
    <mergeCell ref="Q215:Q220"/>
    <mergeCell ref="D216:J216"/>
    <mergeCell ref="Q221:Q226"/>
    <mergeCell ref="Q227:Q232"/>
    <mergeCell ref="A251:A256"/>
    <mergeCell ref="B251:B256"/>
    <mergeCell ref="C251:C256"/>
    <mergeCell ref="Q251:Q256"/>
    <mergeCell ref="D252:J252"/>
    <mergeCell ref="A257:A262"/>
    <mergeCell ref="B257:B262"/>
    <mergeCell ref="C257:C262"/>
    <mergeCell ref="C227:C232"/>
    <mergeCell ref="C191:C196"/>
    <mergeCell ref="D204:J204"/>
    <mergeCell ref="A433:A438"/>
    <mergeCell ref="B433:B438"/>
    <mergeCell ref="C433:C438"/>
    <mergeCell ref="D434:J434"/>
    <mergeCell ref="Q433:Q438"/>
    <mergeCell ref="A312:A317"/>
    <mergeCell ref="B312:B317"/>
    <mergeCell ref="C312:C317"/>
    <mergeCell ref="Q312:Q317"/>
    <mergeCell ref="D313:J313"/>
    <mergeCell ref="A330:A335"/>
    <mergeCell ref="B330:B335"/>
    <mergeCell ref="C324:C329"/>
    <mergeCell ref="Q324:Q329"/>
    <mergeCell ref="Q330:Q335"/>
    <mergeCell ref="D331:J331"/>
    <mergeCell ref="D325:J325"/>
    <mergeCell ref="Q427:Q432"/>
    <mergeCell ref="D428:J428"/>
    <mergeCell ref="A385:A390"/>
    <mergeCell ref="B385:B390"/>
    <mergeCell ref="C385:C390"/>
    <mergeCell ref="Q385:Q390"/>
    <mergeCell ref="A427:A432"/>
  </mergeCells>
  <pageMargins left="0.31496062992125984" right="0.31496062992125984" top="0.74803149606299213" bottom="0.55118110236220474" header="0.31496062992125984" footer="0.31496062992125984"/>
  <pageSetup paperSize="9" scale="68" firstPageNumber="12" fitToHeight="0" orientation="landscape" useFirstPageNumber="1" r:id="rId1"/>
  <rowBreaks count="13" manualBreakCount="13">
    <brk id="45" max="16383" man="1"/>
    <brk id="81" max="16383" man="1"/>
    <brk id="123" max="16383" man="1"/>
    <brk id="165" max="16383" man="1"/>
    <brk id="208" max="16383" man="1"/>
    <brk id="250" max="16383" man="1"/>
    <brk id="292" max="16383" man="1"/>
    <brk id="335" max="16383" man="1"/>
    <brk id="377" max="16383" man="1"/>
    <brk id="426" max="16383" man="1"/>
    <brk id="468" max="16383" man="1"/>
    <brk id="510" max="16383" man="1"/>
    <brk id="55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0"/>
  <sheetViews>
    <sheetView view="pageBreakPreview" zoomScale="115" zoomScaleNormal="100" zoomScaleSheetLayoutView="115" workbookViewId="0">
      <selection activeCell="A5" sqref="A5:H5"/>
    </sheetView>
  </sheetViews>
  <sheetFormatPr defaultRowHeight="15" x14ac:dyDescent="0.25"/>
  <cols>
    <col min="1" max="1" width="3" customWidth="1"/>
    <col min="2" max="2" width="41.85546875" customWidth="1"/>
    <col min="3" max="8" width="12.7109375" customWidth="1"/>
  </cols>
  <sheetData>
    <row r="1" spans="1:8" x14ac:dyDescent="0.25">
      <c r="D1" s="242" t="s">
        <v>146</v>
      </c>
      <c r="E1" s="242"/>
      <c r="F1" s="242"/>
      <c r="G1" s="242"/>
      <c r="H1" s="242"/>
    </row>
    <row r="2" spans="1:8" ht="16.5" customHeight="1" x14ac:dyDescent="0.25">
      <c r="A2" s="215" t="s">
        <v>389</v>
      </c>
      <c r="B2" s="216"/>
      <c r="C2" s="216"/>
      <c r="D2" s="216"/>
      <c r="E2" s="216"/>
      <c r="F2" s="216"/>
      <c r="G2" s="216"/>
      <c r="H2" s="216"/>
    </row>
    <row r="3" spans="1:8" s="6" customFormat="1" ht="40.5" customHeight="1" x14ac:dyDescent="0.2">
      <c r="A3" s="228" t="s">
        <v>141</v>
      </c>
      <c r="B3" s="228"/>
      <c r="C3" s="228"/>
      <c r="D3" s="228"/>
      <c r="E3" s="228"/>
      <c r="F3" s="228"/>
      <c r="G3" s="228"/>
      <c r="H3" s="228"/>
    </row>
    <row r="4" spans="1:8" x14ac:dyDescent="0.25">
      <c r="A4" s="217"/>
      <c r="B4" s="217"/>
      <c r="C4" s="217"/>
      <c r="D4" s="217"/>
      <c r="E4" s="217"/>
      <c r="F4" s="217"/>
      <c r="G4" s="217"/>
      <c r="H4" s="217"/>
    </row>
    <row r="5" spans="1:8" ht="12.75" customHeight="1" thickBot="1" x14ac:dyDescent="0.3">
      <c r="A5" s="217" t="s">
        <v>116</v>
      </c>
      <c r="B5" s="217"/>
      <c r="C5" s="217"/>
      <c r="D5" s="217"/>
      <c r="E5" s="217"/>
      <c r="F5" s="217"/>
      <c r="G5" s="217"/>
      <c r="H5" s="217"/>
    </row>
    <row r="6" spans="1:8" ht="15.75" customHeight="1" x14ac:dyDescent="0.25">
      <c r="A6" s="218" t="s">
        <v>117</v>
      </c>
      <c r="B6" s="219"/>
      <c r="C6" s="98" t="s">
        <v>118</v>
      </c>
      <c r="D6" s="218" t="s">
        <v>119</v>
      </c>
      <c r="E6" s="224"/>
      <c r="F6" s="224"/>
      <c r="G6" s="224"/>
      <c r="H6" s="219"/>
    </row>
    <row r="7" spans="1:8" ht="16.5" customHeight="1" thickBot="1" x14ac:dyDescent="0.3">
      <c r="A7" s="220"/>
      <c r="B7" s="221"/>
      <c r="C7" s="99" t="s">
        <v>25</v>
      </c>
      <c r="D7" s="222" t="s">
        <v>120</v>
      </c>
      <c r="E7" s="225"/>
      <c r="F7" s="225"/>
      <c r="G7" s="225"/>
      <c r="H7" s="223"/>
    </row>
    <row r="8" spans="1:8" ht="16.5" thickBot="1" x14ac:dyDescent="0.3">
      <c r="A8" s="222"/>
      <c r="B8" s="223"/>
      <c r="C8" s="10"/>
      <c r="D8" s="100" t="s">
        <v>164</v>
      </c>
      <c r="E8" s="100" t="s">
        <v>165</v>
      </c>
      <c r="F8" s="100" t="s">
        <v>166</v>
      </c>
      <c r="G8" s="100" t="s">
        <v>167</v>
      </c>
      <c r="H8" s="100" t="s">
        <v>168</v>
      </c>
    </row>
    <row r="9" spans="1:8" ht="16.5" thickBot="1" x14ac:dyDescent="0.3">
      <c r="A9" s="229">
        <v>1</v>
      </c>
      <c r="B9" s="230"/>
      <c r="C9" s="100">
        <v>2</v>
      </c>
      <c r="D9" s="100">
        <v>3</v>
      </c>
      <c r="E9" s="100">
        <v>4</v>
      </c>
      <c r="F9" s="100">
        <v>5</v>
      </c>
      <c r="G9" s="100">
        <v>6</v>
      </c>
      <c r="H9" s="100">
        <v>7</v>
      </c>
    </row>
    <row r="10" spans="1:8" s="1" customFormat="1" ht="56.25" customHeight="1" thickBot="1" x14ac:dyDescent="0.3">
      <c r="A10" s="244" t="s">
        <v>142</v>
      </c>
      <c r="B10" s="245"/>
      <c r="C10" s="35">
        <f>SUM(D10:H10)</f>
        <v>66067.482969999997</v>
      </c>
      <c r="D10" s="35">
        <f>SUM(D12:D15)</f>
        <v>32375.582270000003</v>
      </c>
      <c r="E10" s="35">
        <f>SUM(E12:E15)</f>
        <v>23551.900699999998</v>
      </c>
      <c r="F10" s="35">
        <f>SUM(F12:F15)</f>
        <v>0</v>
      </c>
      <c r="G10" s="35">
        <f>SUM(G12:G15)</f>
        <v>0</v>
      </c>
      <c r="H10" s="35">
        <f>SUM(H12:H15)</f>
        <v>10140</v>
      </c>
    </row>
    <row r="11" spans="1:8" ht="16.5" thickBot="1" x14ac:dyDescent="0.3">
      <c r="A11" s="12"/>
      <c r="B11" s="13" t="s">
        <v>122</v>
      </c>
      <c r="C11" s="33"/>
      <c r="D11" s="33"/>
      <c r="E11" s="33"/>
      <c r="F11" s="33"/>
      <c r="G11" s="33"/>
      <c r="H11" s="33"/>
    </row>
    <row r="12" spans="1:8" ht="32.25" thickBot="1" x14ac:dyDescent="0.3">
      <c r="A12" s="14"/>
      <c r="B12" s="15" t="s">
        <v>123</v>
      </c>
      <c r="C12" s="36">
        <f t="shared" ref="C12:C49" si="0">SUM(D12:H12)</f>
        <v>35958.442410000003</v>
      </c>
      <c r="D12" s="36">
        <f>'ПОМ ПП 2'!F591</f>
        <v>16182.397610000002</v>
      </c>
      <c r="E12" s="36">
        <f>'ПОМ ПП 2'!G591</f>
        <v>9636.0447999999997</v>
      </c>
      <c r="F12" s="36">
        <f>'ПОМ ПП 2'!H591</f>
        <v>0</v>
      </c>
      <c r="G12" s="36">
        <f>'ПОМ ПП 2'!I591</f>
        <v>0</v>
      </c>
      <c r="H12" s="36">
        <f>'ПОМ ПП 2'!J591</f>
        <v>10140</v>
      </c>
    </row>
    <row r="13" spans="1:8" ht="16.5" thickBot="1" x14ac:dyDescent="0.3">
      <c r="A13" s="16"/>
      <c r="B13" s="16" t="s">
        <v>124</v>
      </c>
      <c r="C13" s="36">
        <f t="shared" si="0"/>
        <v>25822.630300000001</v>
      </c>
      <c r="D13" s="36">
        <f>'ПОМ ПП 2'!F592</f>
        <v>13156.7744</v>
      </c>
      <c r="E13" s="36">
        <f>'ПОМ ПП 2'!G592</f>
        <v>12665.8559</v>
      </c>
      <c r="F13" s="36">
        <f>'ПОМ ПП 2'!H592</f>
        <v>0</v>
      </c>
      <c r="G13" s="36">
        <f>'ПОМ ПП 2'!I592</f>
        <v>0</v>
      </c>
      <c r="H13" s="36">
        <f>'ПОМ ПП 2'!J592</f>
        <v>0</v>
      </c>
    </row>
    <row r="14" spans="1:8" ht="16.5" thickBot="1" x14ac:dyDescent="0.3">
      <c r="A14" s="16"/>
      <c r="B14" s="13" t="s">
        <v>125</v>
      </c>
      <c r="C14" s="36">
        <f t="shared" si="0"/>
        <v>3036.4102600000001</v>
      </c>
      <c r="D14" s="36">
        <f>'ПОМ ПП 2'!F593</f>
        <v>3036.4102600000001</v>
      </c>
      <c r="E14" s="36">
        <f>'ПОМ ПП 2'!G593</f>
        <v>0</v>
      </c>
      <c r="F14" s="36">
        <f>'ПОМ ПП 2'!H593</f>
        <v>0</v>
      </c>
      <c r="G14" s="36">
        <f>'ПОМ ПП 2'!I593</f>
        <v>0</v>
      </c>
      <c r="H14" s="36">
        <f>'ПОМ ПП 2'!J593</f>
        <v>0</v>
      </c>
    </row>
    <row r="15" spans="1:8" ht="16.5" thickBot="1" x14ac:dyDescent="0.3">
      <c r="A15" s="17"/>
      <c r="B15" s="13" t="s">
        <v>126</v>
      </c>
      <c r="C15" s="30">
        <f t="shared" si="0"/>
        <v>1250</v>
      </c>
      <c r="D15" s="36">
        <f>'ПОМ ПП 2'!F594</f>
        <v>0</v>
      </c>
      <c r="E15" s="36">
        <f>'ПОМ ПП 2'!G594</f>
        <v>1250</v>
      </c>
      <c r="F15" s="36">
        <f>'ПОМ ПП 2'!H594</f>
        <v>0</v>
      </c>
      <c r="G15" s="36">
        <f>'ПОМ ПП 2'!I594</f>
        <v>0</v>
      </c>
      <c r="H15" s="36">
        <f>'ПОМ ПП 2'!J594</f>
        <v>0</v>
      </c>
    </row>
    <row r="16" spans="1:8" ht="16.5" thickBot="1" x14ac:dyDescent="0.3">
      <c r="A16" s="14"/>
      <c r="B16" s="18" t="s">
        <v>127</v>
      </c>
      <c r="C16" s="33">
        <f t="shared" si="0"/>
        <v>66067.482969999997</v>
      </c>
      <c r="D16" s="30">
        <f>D10</f>
        <v>32375.582270000003</v>
      </c>
      <c r="E16" s="30">
        <f t="shared" ref="E16:H16" si="1">E10</f>
        <v>23551.900699999998</v>
      </c>
      <c r="F16" s="30">
        <f t="shared" si="1"/>
        <v>0</v>
      </c>
      <c r="G16" s="30">
        <f t="shared" si="1"/>
        <v>0</v>
      </c>
      <c r="H16" s="30">
        <f t="shared" si="1"/>
        <v>10140</v>
      </c>
    </row>
    <row r="17" spans="1:8" s="1" customFormat="1" ht="26.25" customHeight="1" thickBot="1" x14ac:dyDescent="0.3">
      <c r="A17" s="19"/>
      <c r="B17" s="20" t="s">
        <v>128</v>
      </c>
      <c r="C17" s="35">
        <f t="shared" si="0"/>
        <v>2753.17922</v>
      </c>
      <c r="D17" s="35">
        <f>SUM(D18:D21)</f>
        <v>2593.17922</v>
      </c>
      <c r="E17" s="35">
        <f>SUM(E18:E21)</f>
        <v>145</v>
      </c>
      <c r="F17" s="35">
        <f>SUM(F18:F21)</f>
        <v>0</v>
      </c>
      <c r="G17" s="35">
        <f>SUM(G18:G21)</f>
        <v>0</v>
      </c>
      <c r="H17" s="35">
        <f>SUM(H18:H21)</f>
        <v>15</v>
      </c>
    </row>
    <row r="18" spans="1:8" ht="32.25" thickBot="1" x14ac:dyDescent="0.3">
      <c r="A18" s="14"/>
      <c r="B18" s="15" t="s">
        <v>129</v>
      </c>
      <c r="C18" s="36">
        <f t="shared" si="0"/>
        <v>1186.9792199999999</v>
      </c>
      <c r="D18" s="36">
        <f>'ПОМ ПП 2'!F18+'ПОМ ПП 2'!F90+'ПОМ ПП 2'!F205+'ПОМ ПП 2'!F235+'ПОМ ПП 2'!F362+'ПОМ ПП 2'!F441</f>
        <v>1150.4792199999999</v>
      </c>
      <c r="E18" s="36">
        <f>'ПОМ ПП 2'!G18+'ПОМ ПП 2'!G90+'ПОМ ПП 2'!G205+'ПОМ ПП 2'!G235+'ПОМ ПП 2'!G362+'ПОМ ПП 2'!G441+'ПОМ ПП 2'!G174</f>
        <v>21.5</v>
      </c>
      <c r="F18" s="36">
        <f>'ПОМ ПП 2'!H18+'ПОМ ПП 2'!H90+'ПОМ ПП 2'!H205+'ПОМ ПП 2'!H235+'ПОМ ПП 2'!H362+'ПОМ ПП 2'!H441</f>
        <v>0</v>
      </c>
      <c r="G18" s="36">
        <f>'ПОМ ПП 2'!I18+'ПОМ ПП 2'!I90+'ПОМ ПП 2'!I205+'ПОМ ПП 2'!I235+'ПОМ ПП 2'!I362+'ПОМ ПП 2'!I441</f>
        <v>0</v>
      </c>
      <c r="H18" s="36">
        <f>'ПОМ ПП 2'!J18+'ПОМ ПП 2'!J90+'ПОМ ПП 2'!J205+'ПОМ ПП 2'!J235+'ПОМ ПП 2'!J362+'ПОМ ПП 2'!J441</f>
        <v>15</v>
      </c>
    </row>
    <row r="19" spans="1:8" ht="16.5" thickBot="1" x14ac:dyDescent="0.3">
      <c r="A19" s="16"/>
      <c r="B19" s="16" t="s">
        <v>124</v>
      </c>
      <c r="C19" s="36">
        <f t="shared" si="0"/>
        <v>1566.2</v>
      </c>
      <c r="D19" s="36">
        <f>'ПОМ ПП 2'!F19+'ПОМ ПП 2'!F91+'ПОМ ПП 2'!F206+'ПОМ ПП 2'!F236+'ПОМ ПП 2'!F363+'ПОМ ПП 2'!F442</f>
        <v>1442.7</v>
      </c>
      <c r="E19" s="36">
        <f>'ПОМ ПП 2'!G19+'ПОМ ПП 2'!G91+'ПОМ ПП 2'!G206+'ПОМ ПП 2'!G236+'ПОМ ПП 2'!G363+'ПОМ ПП 2'!G442+'ПОМ ПП 2'!G175</f>
        <v>123.5</v>
      </c>
      <c r="F19" s="36">
        <f>'ПОМ ПП 2'!H19+'ПОМ ПП 2'!H91+'ПОМ ПП 2'!H206+'ПОМ ПП 2'!H236+'ПОМ ПП 2'!H363+'ПОМ ПП 2'!H442</f>
        <v>0</v>
      </c>
      <c r="G19" s="36">
        <f>'ПОМ ПП 2'!I19+'ПОМ ПП 2'!I91+'ПОМ ПП 2'!I206+'ПОМ ПП 2'!I236+'ПОМ ПП 2'!I363+'ПОМ ПП 2'!I442</f>
        <v>0</v>
      </c>
      <c r="H19" s="36">
        <f>'ПОМ ПП 2'!J19+'ПОМ ПП 2'!J91+'ПОМ ПП 2'!J206+'ПОМ ПП 2'!J236+'ПОМ ПП 2'!J363+'ПОМ ПП 2'!J442</f>
        <v>0</v>
      </c>
    </row>
    <row r="20" spans="1:8" ht="16.5" thickBot="1" x14ac:dyDescent="0.3">
      <c r="A20" s="16"/>
      <c r="B20" s="13" t="s">
        <v>130</v>
      </c>
      <c r="C20" s="36">
        <f t="shared" si="0"/>
        <v>0</v>
      </c>
      <c r="D20" s="36">
        <f>'ПОМ ПП 2'!F20+'ПОМ ПП 2'!F92+'ПОМ ПП 2'!F207+'ПОМ ПП 2'!F237+'ПОМ ПП 2'!F364+'ПОМ ПП 2'!F443</f>
        <v>0</v>
      </c>
      <c r="E20" s="36">
        <f>'ПОМ ПП 2'!G20+'ПОМ ПП 2'!G92+'ПОМ ПП 2'!G207+'ПОМ ПП 2'!G237+'ПОМ ПП 2'!G364+'ПОМ ПП 2'!G443+'ПОМ ПП 2'!G176</f>
        <v>0</v>
      </c>
      <c r="F20" s="36">
        <f>'ПОМ ПП 2'!H20+'ПОМ ПП 2'!H92+'ПОМ ПП 2'!H207+'ПОМ ПП 2'!H237+'ПОМ ПП 2'!H364+'ПОМ ПП 2'!H443</f>
        <v>0</v>
      </c>
      <c r="G20" s="36">
        <f>'ПОМ ПП 2'!I20+'ПОМ ПП 2'!I92+'ПОМ ПП 2'!I207+'ПОМ ПП 2'!I237+'ПОМ ПП 2'!I364+'ПОМ ПП 2'!I443</f>
        <v>0</v>
      </c>
      <c r="H20" s="36">
        <f>'ПОМ ПП 2'!J20+'ПОМ ПП 2'!J92+'ПОМ ПП 2'!J207+'ПОМ ПП 2'!J237+'ПОМ ПП 2'!J364+'ПОМ ПП 2'!J443</f>
        <v>0</v>
      </c>
    </row>
    <row r="21" spans="1:8" ht="16.5" thickBot="1" x14ac:dyDescent="0.3">
      <c r="A21" s="16"/>
      <c r="B21" s="13" t="s">
        <v>131</v>
      </c>
      <c r="C21" s="39">
        <f t="shared" si="0"/>
        <v>0</v>
      </c>
      <c r="D21" s="36">
        <f>'ПОМ ПП 2'!F21+'ПОМ ПП 2'!F93+'ПОМ ПП 2'!F208+'ПОМ ПП 2'!F238+'ПОМ ПП 2'!F365+'ПОМ ПП 2'!F444</f>
        <v>0</v>
      </c>
      <c r="E21" s="36">
        <f>'ПОМ ПП 2'!G21+'ПОМ ПП 2'!G93+'ПОМ ПП 2'!G208+'ПОМ ПП 2'!G238+'ПОМ ПП 2'!G365+'ПОМ ПП 2'!G444+'ПОМ ПП 2'!G177</f>
        <v>0</v>
      </c>
      <c r="F21" s="36">
        <f>'ПОМ ПП 2'!H21+'ПОМ ПП 2'!H93+'ПОМ ПП 2'!H208+'ПОМ ПП 2'!H238+'ПОМ ПП 2'!H365+'ПОМ ПП 2'!H444</f>
        <v>0</v>
      </c>
      <c r="G21" s="36">
        <f>'ПОМ ПП 2'!I21+'ПОМ ПП 2'!I93+'ПОМ ПП 2'!I208+'ПОМ ПП 2'!I238+'ПОМ ПП 2'!I365+'ПОМ ПП 2'!I444</f>
        <v>0</v>
      </c>
      <c r="H21" s="36">
        <f>'ПОМ ПП 2'!J21+'ПОМ ПП 2'!J93+'ПОМ ПП 2'!J208+'ПОМ ПП 2'!J238+'ПОМ ПП 2'!J365+'ПОМ ПП 2'!J444</f>
        <v>0</v>
      </c>
    </row>
    <row r="22" spans="1:8" ht="16.5" thickBot="1" x14ac:dyDescent="0.3">
      <c r="A22" s="16"/>
      <c r="B22" s="18" t="s">
        <v>132</v>
      </c>
      <c r="C22" s="40">
        <f t="shared" si="0"/>
        <v>130</v>
      </c>
      <c r="D22" s="37"/>
      <c r="E22" s="37">
        <f>'ПОМ ПП 2'!G172</f>
        <v>130</v>
      </c>
      <c r="F22" s="37"/>
      <c r="G22" s="37"/>
      <c r="H22" s="37"/>
    </row>
    <row r="23" spans="1:8" s="1" customFormat="1" ht="24.75" customHeight="1" thickBot="1" x14ac:dyDescent="0.3">
      <c r="A23" s="21"/>
      <c r="B23" s="20" t="s">
        <v>133</v>
      </c>
      <c r="C23" s="35">
        <f t="shared" si="0"/>
        <v>3131.1099999999997</v>
      </c>
      <c r="D23" s="35">
        <f>SUM(D24:D27)</f>
        <v>1601.11</v>
      </c>
      <c r="E23" s="35">
        <f>SUM(E24:E27)</f>
        <v>15</v>
      </c>
      <c r="F23" s="35">
        <f>SUM(F24:F27)</f>
        <v>0</v>
      </c>
      <c r="G23" s="35">
        <f>SUM(G24:G27)</f>
        <v>0</v>
      </c>
      <c r="H23" s="35">
        <f>SUM(H24:H27)</f>
        <v>1515</v>
      </c>
    </row>
    <row r="24" spans="1:8" ht="32.25" thickBot="1" x14ac:dyDescent="0.3">
      <c r="A24" s="16"/>
      <c r="B24" s="16" t="s">
        <v>129</v>
      </c>
      <c r="C24" s="36">
        <f t="shared" si="0"/>
        <v>3131.1099999999997</v>
      </c>
      <c r="D24" s="36">
        <f>'ПОМ ПП 2'!F24+'ПОМ ПП 2'!F96+'ПОМ ПП 2'!F211+'ПОМ ПП 2'!F320+'ПОМ ПП 2'!F356+'ПОМ ПП 2'!F447+'ПОМ ПП 2'!F489</f>
        <v>1601.11</v>
      </c>
      <c r="E24" s="36">
        <f>'ПОМ ПП 2'!G24+'ПОМ ПП 2'!G96+'ПОМ ПП 2'!G211+'ПОМ ПП 2'!G320+'ПОМ ПП 2'!G356+'ПОМ ПП 2'!G447+'ПОМ ПП 2'!G489</f>
        <v>15</v>
      </c>
      <c r="F24" s="36">
        <f>'ПОМ ПП 2'!H24+'ПОМ ПП 2'!H96+'ПОМ ПП 2'!H211+'ПОМ ПП 2'!H320+'ПОМ ПП 2'!H356+'ПОМ ПП 2'!H447+'ПОМ ПП 2'!H489</f>
        <v>0</v>
      </c>
      <c r="G24" s="36">
        <f>'ПОМ ПП 2'!I24+'ПОМ ПП 2'!I96+'ПОМ ПП 2'!I211+'ПОМ ПП 2'!I320+'ПОМ ПП 2'!I356+'ПОМ ПП 2'!I447+'ПОМ ПП 2'!I489</f>
        <v>0</v>
      </c>
      <c r="H24" s="36">
        <f>'ПОМ ПП 2'!J24+'ПОМ ПП 2'!J96+'ПОМ ПП 2'!J211+'ПОМ ПП 2'!J320+'ПОМ ПП 2'!J356+'ПОМ ПП 2'!J447+'ПОМ ПП 2'!J489</f>
        <v>1515</v>
      </c>
    </row>
    <row r="25" spans="1:8" ht="16.5" thickBot="1" x14ac:dyDescent="0.3">
      <c r="A25" s="16"/>
      <c r="B25" s="13" t="s">
        <v>124</v>
      </c>
      <c r="C25" s="36">
        <f t="shared" si="0"/>
        <v>0</v>
      </c>
      <c r="D25" s="36">
        <f>'ПОМ ПП 2'!F25+'ПОМ ПП 2'!F97+'ПОМ ПП 2'!F212+'ПОМ ПП 2'!F321+'ПОМ ПП 2'!F357+'ПОМ ПП 2'!F448+'ПОМ ПП 2'!F490</f>
        <v>0</v>
      </c>
      <c r="E25" s="36">
        <f>'ПОМ ПП 2'!G25+'ПОМ ПП 2'!G97+'ПОМ ПП 2'!G212+'ПОМ ПП 2'!G321+'ПОМ ПП 2'!G357+'ПОМ ПП 2'!G448+'ПОМ ПП 2'!G490</f>
        <v>0</v>
      </c>
      <c r="F25" s="36">
        <f>'ПОМ ПП 2'!H25+'ПОМ ПП 2'!H97+'ПОМ ПП 2'!H212+'ПОМ ПП 2'!H321+'ПОМ ПП 2'!H357+'ПОМ ПП 2'!H448+'ПОМ ПП 2'!H490</f>
        <v>0</v>
      </c>
      <c r="G25" s="36">
        <f>'ПОМ ПП 2'!I25+'ПОМ ПП 2'!I97+'ПОМ ПП 2'!I212+'ПОМ ПП 2'!I321+'ПОМ ПП 2'!I357+'ПОМ ПП 2'!I448+'ПОМ ПП 2'!I490</f>
        <v>0</v>
      </c>
      <c r="H25" s="36">
        <f>'ПОМ ПП 2'!J25+'ПОМ ПП 2'!J97+'ПОМ ПП 2'!J212+'ПОМ ПП 2'!J321+'ПОМ ПП 2'!J357+'ПОМ ПП 2'!J448+'ПОМ ПП 2'!J490</f>
        <v>0</v>
      </c>
    </row>
    <row r="26" spans="1:8" ht="16.5" thickBot="1" x14ac:dyDescent="0.3">
      <c r="A26" s="16"/>
      <c r="B26" s="13" t="s">
        <v>130</v>
      </c>
      <c r="C26" s="36">
        <f t="shared" si="0"/>
        <v>0</v>
      </c>
      <c r="D26" s="36">
        <f>'ПОМ ПП 2'!F26+'ПОМ ПП 2'!F98+'ПОМ ПП 2'!F213+'ПОМ ПП 2'!F322+'ПОМ ПП 2'!F358+'ПОМ ПП 2'!F449+'ПОМ ПП 2'!F491</f>
        <v>0</v>
      </c>
      <c r="E26" s="36">
        <f>'ПОМ ПП 2'!G26+'ПОМ ПП 2'!G98+'ПОМ ПП 2'!G213+'ПОМ ПП 2'!G322+'ПОМ ПП 2'!G358+'ПОМ ПП 2'!G449+'ПОМ ПП 2'!G491</f>
        <v>0</v>
      </c>
      <c r="F26" s="36">
        <f>'ПОМ ПП 2'!H26+'ПОМ ПП 2'!H98+'ПОМ ПП 2'!H213+'ПОМ ПП 2'!H322+'ПОМ ПП 2'!H358+'ПОМ ПП 2'!H449+'ПОМ ПП 2'!H491</f>
        <v>0</v>
      </c>
      <c r="G26" s="36">
        <f>'ПОМ ПП 2'!I26+'ПОМ ПП 2'!I98+'ПОМ ПП 2'!I213+'ПОМ ПП 2'!I322+'ПОМ ПП 2'!I358+'ПОМ ПП 2'!I449+'ПОМ ПП 2'!I491</f>
        <v>0</v>
      </c>
      <c r="H26" s="36">
        <f>'ПОМ ПП 2'!J26+'ПОМ ПП 2'!J98+'ПОМ ПП 2'!J213+'ПОМ ПП 2'!J322+'ПОМ ПП 2'!J358+'ПОМ ПП 2'!J449+'ПОМ ПП 2'!J491</f>
        <v>0</v>
      </c>
    </row>
    <row r="27" spans="1:8" ht="16.5" thickBot="1" x14ac:dyDescent="0.3">
      <c r="A27" s="16"/>
      <c r="B27" s="13" t="s">
        <v>131</v>
      </c>
      <c r="C27" s="39">
        <f t="shared" si="0"/>
        <v>0</v>
      </c>
      <c r="D27" s="36">
        <f>'ПОМ ПП 2'!F27+'ПОМ ПП 2'!F99+'ПОМ ПП 2'!F214+'ПОМ ПП 2'!F323+'ПОМ ПП 2'!F359+'ПОМ ПП 2'!F450+'ПОМ ПП 2'!F492</f>
        <v>0</v>
      </c>
      <c r="E27" s="36">
        <f>'ПОМ ПП 2'!G27+'ПОМ ПП 2'!G99+'ПОМ ПП 2'!G214+'ПОМ ПП 2'!G323+'ПОМ ПП 2'!G359+'ПОМ ПП 2'!G450+'ПОМ ПП 2'!G492</f>
        <v>0</v>
      </c>
      <c r="F27" s="36">
        <f>'ПОМ ПП 2'!H27+'ПОМ ПП 2'!H99+'ПОМ ПП 2'!H214+'ПОМ ПП 2'!H323+'ПОМ ПП 2'!H359+'ПОМ ПП 2'!H450+'ПОМ ПП 2'!H492</f>
        <v>0</v>
      </c>
      <c r="G27" s="36">
        <f>'ПОМ ПП 2'!I27+'ПОМ ПП 2'!I99+'ПОМ ПП 2'!I214+'ПОМ ПП 2'!I323+'ПОМ ПП 2'!I359+'ПОМ ПП 2'!I450+'ПОМ ПП 2'!I492</f>
        <v>0</v>
      </c>
      <c r="H27" s="36">
        <f>'ПОМ ПП 2'!J27+'ПОМ ПП 2'!J99+'ПОМ ПП 2'!J214+'ПОМ ПП 2'!J323+'ПОМ ПП 2'!J359+'ПОМ ПП 2'!J450+'ПОМ ПП 2'!J492</f>
        <v>0</v>
      </c>
    </row>
    <row r="28" spans="1:8" ht="16.5" thickBot="1" x14ac:dyDescent="0.3">
      <c r="A28" s="16"/>
      <c r="B28" s="13" t="s">
        <v>134</v>
      </c>
      <c r="C28" s="39">
        <f t="shared" si="0"/>
        <v>0</v>
      </c>
      <c r="D28" s="30"/>
      <c r="E28" s="37"/>
      <c r="F28" s="37"/>
      <c r="G28" s="37"/>
      <c r="H28" s="37"/>
    </row>
    <row r="29" spans="1:8" s="1" customFormat="1" ht="26.25" customHeight="1" thickBot="1" x14ac:dyDescent="0.3">
      <c r="A29" s="21"/>
      <c r="B29" s="20" t="s">
        <v>135</v>
      </c>
      <c r="C29" s="35">
        <f t="shared" si="0"/>
        <v>10165</v>
      </c>
      <c r="D29" s="35">
        <f>SUM(D30:D33)</f>
        <v>1575</v>
      </c>
      <c r="E29" s="35">
        <f>SUM(E30:E33)</f>
        <v>225</v>
      </c>
      <c r="F29" s="35">
        <f>SUM(F30:F33)</f>
        <v>0</v>
      </c>
      <c r="G29" s="35">
        <f>SUM(G30:G33)</f>
        <v>0</v>
      </c>
      <c r="H29" s="35">
        <f>SUM(H30:H33)</f>
        <v>8365</v>
      </c>
    </row>
    <row r="30" spans="1:8" ht="32.25" thickBot="1" x14ac:dyDescent="0.3">
      <c r="A30" s="16"/>
      <c r="B30" s="16" t="s">
        <v>129</v>
      </c>
      <c r="C30" s="36">
        <f t="shared" si="0"/>
        <v>9728</v>
      </c>
      <c r="D30" s="41">
        <f>'ПОМ ПП 2'!F30+'ПОМ ПП 2'!F102+'ПОМ ПП 2'!F187+'ПОМ ПП 2'!F193+'ПОМ ПП 2'!F368+'ПОМ ПП 2'!F411+'ПОМ ПП 2'!F453</f>
        <v>1138</v>
      </c>
      <c r="E30" s="41">
        <f>'ПОМ ПП 2'!G30+'ПОМ ПП 2'!G102+'ПОМ ПП 2'!G187+'ПОМ ПП 2'!G193+'ПОМ ПП 2'!G368+'ПОМ ПП 2'!G411+'ПОМ ПП 2'!G453</f>
        <v>225</v>
      </c>
      <c r="F30" s="41">
        <f>'ПОМ ПП 2'!H30+'ПОМ ПП 2'!H102+'ПОМ ПП 2'!H187+'ПОМ ПП 2'!H193+'ПОМ ПП 2'!H368+'ПОМ ПП 2'!H411+'ПОМ ПП 2'!H453</f>
        <v>0</v>
      </c>
      <c r="G30" s="41">
        <f>'ПОМ ПП 2'!I30+'ПОМ ПП 2'!I102+'ПОМ ПП 2'!I187+'ПОМ ПП 2'!I193+'ПОМ ПП 2'!I368+'ПОМ ПП 2'!I411+'ПОМ ПП 2'!I453</f>
        <v>0</v>
      </c>
      <c r="H30" s="41">
        <f>'ПОМ ПП 2'!J30+'ПОМ ПП 2'!J102+'ПОМ ПП 2'!J187+'ПОМ ПП 2'!J193+'ПОМ ПП 2'!J368+'ПОМ ПП 2'!J411+'ПОМ ПП 2'!J453</f>
        <v>8365</v>
      </c>
    </row>
    <row r="31" spans="1:8" ht="16.5" thickBot="1" x14ac:dyDescent="0.3">
      <c r="A31" s="16"/>
      <c r="B31" s="13" t="s">
        <v>124</v>
      </c>
      <c r="C31" s="36">
        <f t="shared" si="0"/>
        <v>437</v>
      </c>
      <c r="D31" s="41">
        <f>'ПОМ ПП 2'!F31+'ПОМ ПП 2'!F103+'ПОМ ПП 2'!F188+'ПОМ ПП 2'!F194+'ПОМ ПП 2'!F369+'ПОМ ПП 2'!F412+'ПОМ ПП 2'!F454</f>
        <v>437</v>
      </c>
      <c r="E31" s="41">
        <f>'ПОМ ПП 2'!G31+'ПОМ ПП 2'!G103+'ПОМ ПП 2'!G188+'ПОМ ПП 2'!G194+'ПОМ ПП 2'!G369+'ПОМ ПП 2'!G412+'ПОМ ПП 2'!G454</f>
        <v>0</v>
      </c>
      <c r="F31" s="41">
        <f>'ПОМ ПП 2'!H31+'ПОМ ПП 2'!H103+'ПОМ ПП 2'!H188+'ПОМ ПП 2'!H194+'ПОМ ПП 2'!H369+'ПОМ ПП 2'!H412+'ПОМ ПП 2'!H454</f>
        <v>0</v>
      </c>
      <c r="G31" s="41">
        <f>'ПОМ ПП 2'!I31+'ПОМ ПП 2'!I103+'ПОМ ПП 2'!I188+'ПОМ ПП 2'!I194+'ПОМ ПП 2'!I369+'ПОМ ПП 2'!I412+'ПОМ ПП 2'!I454</f>
        <v>0</v>
      </c>
      <c r="H31" s="41">
        <f>'ПОМ ПП 2'!J31+'ПОМ ПП 2'!J103+'ПОМ ПП 2'!J188+'ПОМ ПП 2'!J194+'ПОМ ПП 2'!J369+'ПОМ ПП 2'!J412+'ПОМ ПП 2'!J454</f>
        <v>0</v>
      </c>
    </row>
    <row r="32" spans="1:8" ht="16.5" thickBot="1" x14ac:dyDescent="0.3">
      <c r="A32" s="16"/>
      <c r="B32" s="13" t="s">
        <v>130</v>
      </c>
      <c r="C32" s="36">
        <f t="shared" si="0"/>
        <v>0</v>
      </c>
      <c r="D32" s="41">
        <f>'ПОМ ПП 2'!F32+'ПОМ ПП 2'!F104+'ПОМ ПП 2'!F189+'ПОМ ПП 2'!F195+'ПОМ ПП 2'!F370+'ПОМ ПП 2'!F413+'ПОМ ПП 2'!F455</f>
        <v>0</v>
      </c>
      <c r="E32" s="41">
        <f>'ПОМ ПП 2'!G32+'ПОМ ПП 2'!G104+'ПОМ ПП 2'!G189+'ПОМ ПП 2'!G195+'ПОМ ПП 2'!G370+'ПОМ ПП 2'!G413+'ПОМ ПП 2'!G455+'ПОМ ПП 2'!G575</f>
        <v>0</v>
      </c>
      <c r="F32" s="41">
        <f>'ПОМ ПП 2'!H32+'ПОМ ПП 2'!H104+'ПОМ ПП 2'!H189+'ПОМ ПП 2'!H195+'ПОМ ПП 2'!H370+'ПОМ ПП 2'!H413+'ПОМ ПП 2'!H455</f>
        <v>0</v>
      </c>
      <c r="G32" s="41">
        <f>'ПОМ ПП 2'!I32+'ПОМ ПП 2'!I104+'ПОМ ПП 2'!I189+'ПОМ ПП 2'!I195+'ПОМ ПП 2'!I370+'ПОМ ПП 2'!I413+'ПОМ ПП 2'!I455</f>
        <v>0</v>
      </c>
      <c r="H32" s="41">
        <f>'ПОМ ПП 2'!J32+'ПОМ ПП 2'!J104+'ПОМ ПП 2'!J189+'ПОМ ПП 2'!J195+'ПОМ ПП 2'!J370+'ПОМ ПП 2'!J413+'ПОМ ПП 2'!J455</f>
        <v>0</v>
      </c>
    </row>
    <row r="33" spans="1:8" ht="16.5" thickBot="1" x14ac:dyDescent="0.3">
      <c r="A33" s="16"/>
      <c r="B33" s="13" t="s">
        <v>131</v>
      </c>
      <c r="C33" s="39">
        <f t="shared" si="0"/>
        <v>0</v>
      </c>
      <c r="D33" s="41">
        <f>'ПОМ ПП 2'!F33+'ПОМ ПП 2'!F105+'ПОМ ПП 2'!F190+'ПОМ ПП 2'!F196+'ПОМ ПП 2'!F371+'ПОМ ПП 2'!F414+'ПОМ ПП 2'!F456</f>
        <v>0</v>
      </c>
      <c r="E33" s="41">
        <f>'ПОМ ПП 2'!G33+'ПОМ ПП 2'!G105+'ПОМ ПП 2'!G190+'ПОМ ПП 2'!G196+'ПОМ ПП 2'!G371+'ПОМ ПП 2'!G414+'ПОМ ПП 2'!G456+'ПОМ ПП 2'!G576</f>
        <v>0</v>
      </c>
      <c r="F33" s="41">
        <f>'ПОМ ПП 2'!H33+'ПОМ ПП 2'!H105+'ПОМ ПП 2'!H190+'ПОМ ПП 2'!H196+'ПОМ ПП 2'!H371+'ПОМ ПП 2'!H414+'ПОМ ПП 2'!H456</f>
        <v>0</v>
      </c>
      <c r="G33" s="41">
        <f>'ПОМ ПП 2'!I33+'ПОМ ПП 2'!I105+'ПОМ ПП 2'!I190+'ПОМ ПП 2'!I196+'ПОМ ПП 2'!I371+'ПОМ ПП 2'!I414+'ПОМ ПП 2'!I456</f>
        <v>0</v>
      </c>
      <c r="H33" s="41">
        <f>'ПОМ ПП 2'!J33+'ПОМ ПП 2'!J105+'ПОМ ПП 2'!J190+'ПОМ ПП 2'!J196+'ПОМ ПП 2'!J371+'ПОМ ПП 2'!J414+'ПОМ ПП 2'!J456</f>
        <v>0</v>
      </c>
    </row>
    <row r="34" spans="1:8" ht="16.5" thickBot="1" x14ac:dyDescent="0.3">
      <c r="A34" s="16"/>
      <c r="B34" s="13" t="s">
        <v>134</v>
      </c>
      <c r="C34" s="39">
        <f t="shared" si="0"/>
        <v>0</v>
      </c>
      <c r="D34" s="37"/>
      <c r="E34" s="37"/>
      <c r="F34" s="37"/>
      <c r="G34" s="37"/>
      <c r="H34" s="37"/>
    </row>
    <row r="35" spans="1:8" s="1" customFormat="1" ht="26.25" hidden="1" customHeight="1" thickBot="1" x14ac:dyDescent="0.3">
      <c r="A35" s="21"/>
      <c r="B35" s="20" t="s">
        <v>136</v>
      </c>
      <c r="C35" s="35">
        <f t="shared" si="0"/>
        <v>0</v>
      </c>
      <c r="D35" s="35">
        <f>SUM(D36:D39)</f>
        <v>0</v>
      </c>
      <c r="E35" s="35">
        <f>SUM(E36:E39)</f>
        <v>0</v>
      </c>
      <c r="F35" s="35">
        <f>SUM(F36:F39)</f>
        <v>0</v>
      </c>
      <c r="G35" s="35">
        <f>SUM(G36:G39)</f>
        <v>0</v>
      </c>
      <c r="H35" s="35">
        <f>SUM(H36:H39)</f>
        <v>0</v>
      </c>
    </row>
    <row r="36" spans="1:8" ht="32.25" hidden="1" thickBot="1" x14ac:dyDescent="0.3">
      <c r="A36" s="16"/>
      <c r="B36" s="16" t="s">
        <v>129</v>
      </c>
      <c r="C36" s="36">
        <f t="shared" si="0"/>
        <v>0</v>
      </c>
      <c r="D36" s="36"/>
      <c r="E36" s="36"/>
      <c r="F36" s="36"/>
      <c r="G36" s="36"/>
      <c r="H36" s="36"/>
    </row>
    <row r="37" spans="1:8" ht="16.5" hidden="1" thickBot="1" x14ac:dyDescent="0.3">
      <c r="A37" s="16"/>
      <c r="B37" s="13" t="s">
        <v>124</v>
      </c>
      <c r="C37" s="36">
        <f t="shared" si="0"/>
        <v>0</v>
      </c>
      <c r="D37" s="36"/>
      <c r="E37" s="36"/>
      <c r="F37" s="36"/>
      <c r="G37" s="36"/>
      <c r="H37" s="36"/>
    </row>
    <row r="38" spans="1:8" ht="16.5" hidden="1" thickBot="1" x14ac:dyDescent="0.3">
      <c r="A38" s="16"/>
      <c r="B38" s="13" t="s">
        <v>130</v>
      </c>
      <c r="C38" s="36">
        <f t="shared" si="0"/>
        <v>0</v>
      </c>
      <c r="D38" s="36"/>
      <c r="E38" s="36"/>
      <c r="F38" s="36"/>
      <c r="G38" s="36"/>
      <c r="H38" s="36"/>
    </row>
    <row r="39" spans="1:8" ht="16.5" hidden="1" thickBot="1" x14ac:dyDescent="0.3">
      <c r="A39" s="16"/>
      <c r="B39" s="13" t="s">
        <v>131</v>
      </c>
      <c r="C39" s="30">
        <f t="shared" si="0"/>
        <v>0</v>
      </c>
      <c r="D39" s="30"/>
      <c r="E39" s="30"/>
      <c r="F39" s="30"/>
      <c r="G39" s="30"/>
      <c r="H39" s="30"/>
    </row>
    <row r="40" spans="1:8" ht="16.5" hidden="1" thickBot="1" x14ac:dyDescent="0.3">
      <c r="A40" s="16"/>
      <c r="B40" s="13" t="s">
        <v>134</v>
      </c>
      <c r="C40" s="30">
        <f t="shared" si="0"/>
        <v>0</v>
      </c>
      <c r="D40" s="30"/>
      <c r="E40" s="31"/>
      <c r="F40" s="31"/>
      <c r="G40" s="31"/>
      <c r="H40" s="31"/>
    </row>
    <row r="41" spans="1:8" s="1" customFormat="1" ht="26.25" customHeight="1" thickBot="1" x14ac:dyDescent="0.3">
      <c r="A41" s="21"/>
      <c r="B41" s="20" t="s">
        <v>136</v>
      </c>
      <c r="C41" s="35">
        <f t="shared" ref="C41:C43" si="2">SUM(D41:H41)</f>
        <v>10</v>
      </c>
      <c r="D41" s="35">
        <f>SUM(D42:D45)</f>
        <v>0</v>
      </c>
      <c r="E41" s="35">
        <f>SUM(E42:E45)</f>
        <v>10</v>
      </c>
      <c r="F41" s="35">
        <f>SUM(F42:F45)</f>
        <v>0</v>
      </c>
      <c r="G41" s="35">
        <f>SUM(G42:G45)</f>
        <v>0</v>
      </c>
      <c r="H41" s="35">
        <f>SUM(H42:H45)</f>
        <v>0</v>
      </c>
    </row>
    <row r="42" spans="1:8" ht="32.25" thickBot="1" x14ac:dyDescent="0.3">
      <c r="A42" s="16"/>
      <c r="B42" s="16" t="s">
        <v>129</v>
      </c>
      <c r="C42" s="36">
        <f t="shared" si="2"/>
        <v>10</v>
      </c>
      <c r="D42" s="36">
        <f>'ПОМ ПП 2'!F36+'ПОМ ПП 2'!F108</f>
        <v>0</v>
      </c>
      <c r="E42" s="36">
        <f>'ПОМ ПП 2'!G36+'ПОМ ПП 2'!G108</f>
        <v>10</v>
      </c>
      <c r="F42" s="36">
        <f>'ПОМ ПП 2'!H36+'ПОМ ПП 2'!H108</f>
        <v>0</v>
      </c>
      <c r="G42" s="36">
        <f>'ПОМ ПП 2'!I36+'ПОМ ПП 2'!I108</f>
        <v>0</v>
      </c>
      <c r="H42" s="36">
        <f>'ПОМ ПП 2'!J36+'ПОМ ПП 2'!J108</f>
        <v>0</v>
      </c>
    </row>
    <row r="43" spans="1:8" ht="16.5" thickBot="1" x14ac:dyDescent="0.3">
      <c r="A43" s="16"/>
      <c r="B43" s="13" t="s">
        <v>124</v>
      </c>
      <c r="C43" s="36">
        <f t="shared" si="2"/>
        <v>0</v>
      </c>
      <c r="D43" s="36">
        <f>'ПОМ ПП 2'!F37+'ПОМ ПП 2'!F109</f>
        <v>0</v>
      </c>
      <c r="E43" s="36">
        <f>'ПОМ ПП 2'!G37+'ПОМ ПП 2'!G109</f>
        <v>0</v>
      </c>
      <c r="F43" s="36">
        <f>'ПОМ ПП 2'!H37+'ПОМ ПП 2'!H109</f>
        <v>0</v>
      </c>
      <c r="G43" s="36">
        <f>'ПОМ ПП 2'!I37+'ПОМ ПП 2'!I109</f>
        <v>0</v>
      </c>
      <c r="H43" s="36">
        <f>'ПОМ ПП 2'!J37+'ПОМ ПП 2'!J109</f>
        <v>0</v>
      </c>
    </row>
    <row r="44" spans="1:8" ht="16.5" thickBot="1" x14ac:dyDescent="0.3">
      <c r="A44" s="16"/>
      <c r="B44" s="13" t="s">
        <v>130</v>
      </c>
      <c r="C44" s="36">
        <f t="shared" ref="C44:C46" si="3">SUM(D44:H44)</f>
        <v>0</v>
      </c>
      <c r="D44" s="36">
        <f>'ПОМ ПП 2'!F38+'ПОМ ПП 2'!F110</f>
        <v>0</v>
      </c>
      <c r="E44" s="36">
        <f>'ПОМ ПП 2'!G38+'ПОМ ПП 2'!G110</f>
        <v>0</v>
      </c>
      <c r="F44" s="36">
        <f>'ПОМ ПП 2'!H38+'ПОМ ПП 2'!H110</f>
        <v>0</v>
      </c>
      <c r="G44" s="36">
        <f>'ПОМ ПП 2'!I38+'ПОМ ПП 2'!I110</f>
        <v>0</v>
      </c>
      <c r="H44" s="36">
        <f>'ПОМ ПП 2'!J38+'ПОМ ПП 2'!J110</f>
        <v>0</v>
      </c>
    </row>
    <row r="45" spans="1:8" ht="16.5" thickBot="1" x14ac:dyDescent="0.3">
      <c r="A45" s="16"/>
      <c r="B45" s="13" t="s">
        <v>131</v>
      </c>
      <c r="C45" s="39">
        <f t="shared" si="3"/>
        <v>0</v>
      </c>
      <c r="D45" s="36">
        <f>'ПОМ ПП 2'!F39+'ПОМ ПП 2'!F111</f>
        <v>0</v>
      </c>
      <c r="E45" s="36">
        <f>'ПОМ ПП 2'!G39+'ПОМ ПП 2'!G111</f>
        <v>0</v>
      </c>
      <c r="F45" s="36">
        <f>'ПОМ ПП 2'!H39+'ПОМ ПП 2'!H111</f>
        <v>0</v>
      </c>
      <c r="G45" s="36">
        <f>'ПОМ ПП 2'!I39+'ПОМ ПП 2'!I111</f>
        <v>0</v>
      </c>
      <c r="H45" s="36">
        <f>'ПОМ ПП 2'!J39+'ПОМ ПП 2'!J111</f>
        <v>0</v>
      </c>
    </row>
    <row r="46" spans="1:8" ht="16.5" thickBot="1" x14ac:dyDescent="0.3">
      <c r="A46" s="16"/>
      <c r="B46" s="13" t="s">
        <v>134</v>
      </c>
      <c r="C46" s="39">
        <f t="shared" si="3"/>
        <v>0</v>
      </c>
      <c r="D46" s="36"/>
      <c r="E46" s="36"/>
      <c r="F46" s="36"/>
      <c r="G46" s="36"/>
      <c r="H46" s="36"/>
    </row>
    <row r="47" spans="1:8" s="1" customFormat="1" ht="26.25" customHeight="1" thickBot="1" x14ac:dyDescent="0.3">
      <c r="A47" s="21"/>
      <c r="B47" s="20" t="s">
        <v>320</v>
      </c>
      <c r="C47" s="35">
        <f t="shared" si="0"/>
        <v>1073.5</v>
      </c>
      <c r="D47" s="43">
        <f>SUM(D48:D51)</f>
        <v>1002.1</v>
      </c>
      <c r="E47" s="44">
        <f>SUM(E48:E51)</f>
        <v>56.4</v>
      </c>
      <c r="F47" s="44">
        <f>SUM(F48:F51)</f>
        <v>0</v>
      </c>
      <c r="G47" s="44">
        <f>SUM(G48:G51)</f>
        <v>0</v>
      </c>
      <c r="H47" s="44">
        <f>SUM(H48:H51)</f>
        <v>15</v>
      </c>
    </row>
    <row r="48" spans="1:8" ht="32.25" thickBot="1" x14ac:dyDescent="0.3">
      <c r="A48" s="16"/>
      <c r="B48" s="16" t="s">
        <v>129</v>
      </c>
      <c r="C48" s="36">
        <f t="shared" si="0"/>
        <v>1073.5</v>
      </c>
      <c r="D48" s="36">
        <f>'ПОМ ПП 2'!F42+'ПОМ ПП 2'!F114+'ПОМ ПП 2'!F326+'ПОМ ПП 2'!F393+'ПОМ ПП 2'!F459+'ПОМ ПП 2'!F513</f>
        <v>1002.1</v>
      </c>
      <c r="E48" s="36">
        <f>'ПОМ ПП 2'!G42+'ПОМ ПП 2'!G114+'ПОМ ПП 2'!G326+'ПОМ ПП 2'!G393+'ПОМ ПП 2'!G459+'ПОМ ПП 2'!G513</f>
        <v>56.4</v>
      </c>
      <c r="F48" s="36">
        <f>'ПОМ ПП 2'!H42+'ПОМ ПП 2'!H114+'ПОМ ПП 2'!H326+'ПОМ ПП 2'!H393+'ПОМ ПП 2'!H459+'ПОМ ПП 2'!H513</f>
        <v>0</v>
      </c>
      <c r="G48" s="36">
        <f>'ПОМ ПП 2'!I42+'ПОМ ПП 2'!I114+'ПОМ ПП 2'!I326+'ПОМ ПП 2'!I393+'ПОМ ПП 2'!I459+'ПОМ ПП 2'!I513</f>
        <v>0</v>
      </c>
      <c r="H48" s="36">
        <f>'ПОМ ПП 2'!J42+'ПОМ ПП 2'!J114+'ПОМ ПП 2'!J326+'ПОМ ПП 2'!J393+'ПОМ ПП 2'!J459+'ПОМ ПП 2'!J513</f>
        <v>15</v>
      </c>
    </row>
    <row r="49" spans="1:8" ht="16.5" thickBot="1" x14ac:dyDescent="0.3">
      <c r="A49" s="16"/>
      <c r="B49" s="13" t="s">
        <v>124</v>
      </c>
      <c r="C49" s="36">
        <f t="shared" si="0"/>
        <v>0</v>
      </c>
      <c r="D49" s="36">
        <f>'ПОМ ПП 2'!F43+'ПОМ ПП 2'!F115+'ПОМ ПП 2'!F327+'ПОМ ПП 2'!F394+'ПОМ ПП 2'!F460+'ПОМ ПП 2'!F514</f>
        <v>0</v>
      </c>
      <c r="E49" s="36">
        <f>'ПОМ ПП 2'!G43+'ПОМ ПП 2'!G115+'ПОМ ПП 2'!G327+'ПОМ ПП 2'!G394+'ПОМ ПП 2'!G460+'ПОМ ПП 2'!G514</f>
        <v>0</v>
      </c>
      <c r="F49" s="36">
        <f>'ПОМ ПП 2'!H43+'ПОМ ПП 2'!H115+'ПОМ ПП 2'!H327+'ПОМ ПП 2'!H394+'ПОМ ПП 2'!H460+'ПОМ ПП 2'!H514</f>
        <v>0</v>
      </c>
      <c r="G49" s="36">
        <f>'ПОМ ПП 2'!I43+'ПОМ ПП 2'!I115+'ПОМ ПП 2'!I327+'ПОМ ПП 2'!I394+'ПОМ ПП 2'!I460+'ПОМ ПП 2'!I514</f>
        <v>0</v>
      </c>
      <c r="H49" s="36">
        <f>'ПОМ ПП 2'!J43+'ПОМ ПП 2'!J115+'ПОМ ПП 2'!J327+'ПОМ ПП 2'!J394+'ПОМ ПП 2'!J460+'ПОМ ПП 2'!J514</f>
        <v>0</v>
      </c>
    </row>
    <row r="50" spans="1:8" ht="16.5" thickBot="1" x14ac:dyDescent="0.3">
      <c r="A50" s="16"/>
      <c r="B50" s="13" t="s">
        <v>130</v>
      </c>
      <c r="C50" s="36">
        <f t="shared" ref="C50:C100" si="4">SUM(D50:H50)</f>
        <v>0</v>
      </c>
      <c r="D50" s="36">
        <f>'ПОМ ПП 2'!F44+'ПОМ ПП 2'!F116+'ПОМ ПП 2'!F328+'ПОМ ПП 2'!F395+'ПОМ ПП 2'!F461+'ПОМ ПП 2'!F515</f>
        <v>0</v>
      </c>
      <c r="E50" s="36">
        <f>'ПОМ ПП 2'!G44+'ПОМ ПП 2'!G116+'ПОМ ПП 2'!G328+'ПОМ ПП 2'!G395+'ПОМ ПП 2'!G461+'ПОМ ПП 2'!G515</f>
        <v>0</v>
      </c>
      <c r="F50" s="36">
        <f>'ПОМ ПП 2'!H44+'ПОМ ПП 2'!H116+'ПОМ ПП 2'!H328+'ПОМ ПП 2'!H395+'ПОМ ПП 2'!H461+'ПОМ ПП 2'!H515</f>
        <v>0</v>
      </c>
      <c r="G50" s="36">
        <f>'ПОМ ПП 2'!I44+'ПОМ ПП 2'!I116+'ПОМ ПП 2'!I328+'ПОМ ПП 2'!I395+'ПОМ ПП 2'!I461+'ПОМ ПП 2'!I515</f>
        <v>0</v>
      </c>
      <c r="H50" s="36">
        <f>'ПОМ ПП 2'!J44+'ПОМ ПП 2'!J116+'ПОМ ПП 2'!J328+'ПОМ ПП 2'!J395+'ПОМ ПП 2'!J461+'ПОМ ПП 2'!J515</f>
        <v>0</v>
      </c>
    </row>
    <row r="51" spans="1:8" ht="16.5" thickBot="1" x14ac:dyDescent="0.3">
      <c r="A51" s="16"/>
      <c r="B51" s="13" t="s">
        <v>131</v>
      </c>
      <c r="C51" s="39">
        <f t="shared" si="4"/>
        <v>0</v>
      </c>
      <c r="D51" s="30">
        <f>'ПОМ ПП 2'!F45+'ПОМ ПП 2'!F117+'ПОМ ПП 2'!F329+'ПОМ ПП 2'!F396+'ПОМ ПП 2'!F462+'ПОМ ПП 2'!F516</f>
        <v>0</v>
      </c>
      <c r="E51" s="30">
        <f>'ПОМ ПП 2'!G45+'ПОМ ПП 2'!G117+'ПОМ ПП 2'!G329+'ПОМ ПП 2'!G396+'ПОМ ПП 2'!G462+'ПОМ ПП 2'!G516</f>
        <v>0</v>
      </c>
      <c r="F51" s="30">
        <f>'ПОМ ПП 2'!H45+'ПОМ ПП 2'!H117+'ПОМ ПП 2'!H329+'ПОМ ПП 2'!H396+'ПОМ ПП 2'!H462+'ПОМ ПП 2'!H516</f>
        <v>0</v>
      </c>
      <c r="G51" s="30">
        <f>'ПОМ ПП 2'!I45+'ПОМ ПП 2'!I117+'ПОМ ПП 2'!I329+'ПОМ ПП 2'!I396+'ПОМ ПП 2'!I462+'ПОМ ПП 2'!I516</f>
        <v>0</v>
      </c>
      <c r="H51" s="30">
        <f>'ПОМ ПП 2'!J45+'ПОМ ПП 2'!J117+'ПОМ ПП 2'!J329+'ПОМ ПП 2'!J396+'ПОМ ПП 2'!J462+'ПОМ ПП 2'!J516</f>
        <v>0</v>
      </c>
    </row>
    <row r="52" spans="1:8" ht="16.5" thickBot="1" x14ac:dyDescent="0.3">
      <c r="A52" s="16"/>
      <c r="B52" s="13" t="s">
        <v>134</v>
      </c>
      <c r="C52" s="39">
        <f t="shared" si="4"/>
        <v>0</v>
      </c>
      <c r="D52" s="42"/>
      <c r="E52" s="42"/>
      <c r="F52" s="42"/>
      <c r="G52" s="42"/>
      <c r="H52" s="42"/>
    </row>
    <row r="53" spans="1:8" s="1" customFormat="1" ht="18.600000000000001" customHeight="1" thickBot="1" x14ac:dyDescent="0.3">
      <c r="A53" s="21"/>
      <c r="B53" s="20" t="s">
        <v>321</v>
      </c>
      <c r="C53" s="35">
        <f t="shared" si="4"/>
        <v>2197.6516000000001</v>
      </c>
      <c r="D53" s="35">
        <f>SUM(D54:D57)</f>
        <v>2167.6516000000001</v>
      </c>
      <c r="E53" s="35">
        <f>SUM(E54:E57)</f>
        <v>15</v>
      </c>
      <c r="F53" s="35">
        <f>SUM(F54:F57)</f>
        <v>0</v>
      </c>
      <c r="G53" s="35">
        <f>SUM(G54:G57)</f>
        <v>0</v>
      </c>
      <c r="H53" s="35">
        <f>SUM(H54:H57)</f>
        <v>15</v>
      </c>
    </row>
    <row r="54" spans="1:8" ht="32.25" thickBot="1" x14ac:dyDescent="0.3">
      <c r="A54" s="16"/>
      <c r="B54" s="16" t="s">
        <v>129</v>
      </c>
      <c r="C54" s="36">
        <f t="shared" si="4"/>
        <v>1119.8516</v>
      </c>
      <c r="D54" s="36">
        <f>'ПОМ ПП 2'!F48+'ПОМ ПП 2'!F120+'ПОМ ПП 2'!F217+'ПОМ ПП 2'!F223+'ПОМ ПП 2'!F241+'ПОМ ПП 2'!F332</f>
        <v>1089.8516</v>
      </c>
      <c r="E54" s="36">
        <f>'ПОМ ПП 2'!G48+'ПОМ ПП 2'!G120+'ПОМ ПП 2'!G217+'ПОМ ПП 2'!G223+'ПОМ ПП 2'!G241+'ПОМ ПП 2'!G332</f>
        <v>15</v>
      </c>
      <c r="F54" s="36">
        <f>'ПОМ ПП 2'!H48+'ПОМ ПП 2'!H120+'ПОМ ПП 2'!H217+'ПОМ ПП 2'!H223+'ПОМ ПП 2'!H241+'ПОМ ПП 2'!H332</f>
        <v>0</v>
      </c>
      <c r="G54" s="36">
        <f>'ПОМ ПП 2'!I48+'ПОМ ПП 2'!I120+'ПОМ ПП 2'!I217+'ПОМ ПП 2'!I223+'ПОМ ПП 2'!I241+'ПОМ ПП 2'!I332</f>
        <v>0</v>
      </c>
      <c r="H54" s="36">
        <f>'ПОМ ПП 2'!J48+'ПОМ ПП 2'!J120+'ПОМ ПП 2'!J217+'ПОМ ПП 2'!J223+'ПОМ ПП 2'!J241+'ПОМ ПП 2'!J332</f>
        <v>15</v>
      </c>
    </row>
    <row r="55" spans="1:8" ht="16.5" thickBot="1" x14ac:dyDescent="0.3">
      <c r="A55" s="16"/>
      <c r="B55" s="13" t="s">
        <v>124</v>
      </c>
      <c r="C55" s="36">
        <f t="shared" si="4"/>
        <v>1077.8</v>
      </c>
      <c r="D55" s="36">
        <f>'ПОМ ПП 2'!F49+'ПОМ ПП 2'!F121+'ПОМ ПП 2'!F218+'ПОМ ПП 2'!F224+'ПОМ ПП 2'!F242+'ПОМ ПП 2'!F333</f>
        <v>1077.8</v>
      </c>
      <c r="E55" s="36">
        <f>'ПОМ ПП 2'!G49+'ПОМ ПП 2'!G121+'ПОМ ПП 2'!G218+'ПОМ ПП 2'!G224+'ПОМ ПП 2'!G242+'ПОМ ПП 2'!G333</f>
        <v>0</v>
      </c>
      <c r="F55" s="36">
        <f>'ПОМ ПП 2'!H49+'ПОМ ПП 2'!H121+'ПОМ ПП 2'!H218+'ПОМ ПП 2'!H224+'ПОМ ПП 2'!H242+'ПОМ ПП 2'!H333</f>
        <v>0</v>
      </c>
      <c r="G55" s="36">
        <f>'ПОМ ПП 2'!I49+'ПОМ ПП 2'!I121+'ПОМ ПП 2'!I218+'ПОМ ПП 2'!I224+'ПОМ ПП 2'!I242+'ПОМ ПП 2'!I333</f>
        <v>0</v>
      </c>
      <c r="H55" s="36">
        <f>'ПОМ ПП 2'!J49+'ПОМ ПП 2'!J121+'ПОМ ПП 2'!J218+'ПОМ ПП 2'!J224+'ПОМ ПП 2'!J242+'ПОМ ПП 2'!J333</f>
        <v>0</v>
      </c>
    </row>
    <row r="56" spans="1:8" ht="16.5" thickBot="1" x14ac:dyDescent="0.3">
      <c r="A56" s="16"/>
      <c r="B56" s="13" t="s">
        <v>130</v>
      </c>
      <c r="C56" s="36">
        <f t="shared" si="4"/>
        <v>0</v>
      </c>
      <c r="D56" s="36">
        <f>'ПОМ ПП 2'!F50+'ПОМ ПП 2'!F122+'ПОМ ПП 2'!F219+'ПОМ ПП 2'!F225+'ПОМ ПП 2'!F243+'ПОМ ПП 2'!F334</f>
        <v>0</v>
      </c>
      <c r="E56" s="36">
        <f>'ПОМ ПП 2'!G50+'ПОМ ПП 2'!G122+'ПОМ ПП 2'!G219+'ПОМ ПП 2'!G225+'ПОМ ПП 2'!G243+'ПОМ ПП 2'!G334</f>
        <v>0</v>
      </c>
      <c r="F56" s="36">
        <f>'ПОМ ПП 2'!H50+'ПОМ ПП 2'!H122+'ПОМ ПП 2'!H219+'ПОМ ПП 2'!H225+'ПОМ ПП 2'!H243+'ПОМ ПП 2'!H334</f>
        <v>0</v>
      </c>
      <c r="G56" s="36">
        <f>'ПОМ ПП 2'!I50+'ПОМ ПП 2'!I122+'ПОМ ПП 2'!I219+'ПОМ ПП 2'!I225+'ПОМ ПП 2'!I243+'ПОМ ПП 2'!I334</f>
        <v>0</v>
      </c>
      <c r="H56" s="36">
        <f>'ПОМ ПП 2'!J50+'ПОМ ПП 2'!J122+'ПОМ ПП 2'!J219+'ПОМ ПП 2'!J225+'ПОМ ПП 2'!J243+'ПОМ ПП 2'!J334</f>
        <v>0</v>
      </c>
    </row>
    <row r="57" spans="1:8" ht="16.5" thickBot="1" x14ac:dyDescent="0.3">
      <c r="A57" s="16"/>
      <c r="B57" s="13" t="s">
        <v>131</v>
      </c>
      <c r="C57" s="39">
        <f t="shared" si="4"/>
        <v>0</v>
      </c>
      <c r="D57" s="36">
        <f>'ПОМ ПП 2'!F51+'ПОМ ПП 2'!F123+'ПОМ ПП 2'!F220+'ПОМ ПП 2'!F226+'ПОМ ПП 2'!F244+'ПОМ ПП 2'!F335</f>
        <v>0</v>
      </c>
      <c r="E57" s="36">
        <f>'ПОМ ПП 2'!G51+'ПОМ ПП 2'!G123+'ПОМ ПП 2'!G220+'ПОМ ПП 2'!G226+'ПОМ ПП 2'!G244+'ПОМ ПП 2'!G335</f>
        <v>0</v>
      </c>
      <c r="F57" s="36">
        <f>'ПОМ ПП 2'!H51+'ПОМ ПП 2'!H123+'ПОМ ПП 2'!H220+'ПОМ ПП 2'!H226+'ПОМ ПП 2'!H244+'ПОМ ПП 2'!H335</f>
        <v>0</v>
      </c>
      <c r="G57" s="36">
        <f>'ПОМ ПП 2'!I51+'ПОМ ПП 2'!I123+'ПОМ ПП 2'!I220+'ПОМ ПП 2'!I226+'ПОМ ПП 2'!I244+'ПОМ ПП 2'!I335</f>
        <v>0</v>
      </c>
      <c r="H57" s="36">
        <f>'ПОМ ПП 2'!J51+'ПОМ ПП 2'!J123+'ПОМ ПП 2'!J220+'ПОМ ПП 2'!J226+'ПОМ ПП 2'!J244+'ПОМ ПП 2'!J335</f>
        <v>0</v>
      </c>
    </row>
    <row r="58" spans="1:8" ht="16.5" thickBot="1" x14ac:dyDescent="0.3">
      <c r="A58" s="16"/>
      <c r="B58" s="13" t="s">
        <v>134</v>
      </c>
      <c r="C58" s="39">
        <f t="shared" si="4"/>
        <v>0</v>
      </c>
      <c r="D58" s="37"/>
      <c r="E58" s="37"/>
      <c r="F58" s="37"/>
      <c r="G58" s="37"/>
      <c r="H58" s="37"/>
    </row>
    <row r="59" spans="1:8" s="1" customFormat="1" ht="32.25" thickBot="1" x14ac:dyDescent="0.3">
      <c r="A59" s="21"/>
      <c r="B59" s="20" t="s">
        <v>322</v>
      </c>
      <c r="C59" s="35">
        <f t="shared" si="4"/>
        <v>1688.4683499999999</v>
      </c>
      <c r="D59" s="35">
        <f>SUM(D60:D63)</f>
        <v>469.80999999999995</v>
      </c>
      <c r="E59" s="35">
        <f>SUM(E60:E63)</f>
        <v>1203.6583499999999</v>
      </c>
      <c r="F59" s="35">
        <f>SUM(F60:F63)</f>
        <v>0</v>
      </c>
      <c r="G59" s="35">
        <f>SUM(G60:G63)</f>
        <v>0</v>
      </c>
      <c r="H59" s="35">
        <f>SUM(H60:H63)</f>
        <v>15</v>
      </c>
    </row>
    <row r="60" spans="1:8" ht="32.25" thickBot="1" x14ac:dyDescent="0.3">
      <c r="A60" s="16"/>
      <c r="B60" s="16" t="s">
        <v>129</v>
      </c>
      <c r="C60" s="36">
        <f t="shared" si="4"/>
        <v>559.24334999999996</v>
      </c>
      <c r="D60" s="36">
        <f>'ПОМ ПП 2'!F54+'ПОМ ПП 2'!F126+'ПОМ ПП 2'!F531</f>
        <v>469.80999999999995</v>
      </c>
      <c r="E60" s="36">
        <f>'ПОМ ПП 2'!G54+'ПОМ ПП 2'!G126+'ПОМ ПП 2'!G531+'ПОМ ПП 2'!G573</f>
        <v>74.43334999999999</v>
      </c>
      <c r="F60" s="36">
        <f>'ПОМ ПП 2'!H54+'ПОМ ПП 2'!H126+'ПОМ ПП 2'!H531</f>
        <v>0</v>
      </c>
      <c r="G60" s="36">
        <f>'ПОМ ПП 2'!I54+'ПОМ ПП 2'!I126+'ПОМ ПП 2'!I531</f>
        <v>0</v>
      </c>
      <c r="H60" s="36">
        <f>'[1]ПОМ ПП 2'!J126+'[1]ПОМ ПП 2'!J54+'[1]ПОМ ПП 2'!J435</f>
        <v>15</v>
      </c>
    </row>
    <row r="61" spans="1:8" ht="16.5" thickBot="1" x14ac:dyDescent="0.3">
      <c r="A61" s="16"/>
      <c r="B61" s="13" t="s">
        <v>124</v>
      </c>
      <c r="C61" s="36">
        <f t="shared" si="4"/>
        <v>1129.2249999999999</v>
      </c>
      <c r="D61" s="36">
        <f>'ПОМ ПП 2'!F55+'ПОМ ПП 2'!F127+'ПОМ ПП 2'!F532</f>
        <v>0</v>
      </c>
      <c r="E61" s="36">
        <f>'ПОМ ПП 2'!G55+'ПОМ ПП 2'!G127+'ПОМ ПП 2'!G532+'ПОМ ПП 2'!G574</f>
        <v>1129.2249999999999</v>
      </c>
      <c r="F61" s="36">
        <f>'ПОМ ПП 2'!H55+'ПОМ ПП 2'!H127+'ПОМ ПП 2'!H532</f>
        <v>0</v>
      </c>
      <c r="G61" s="36">
        <f>'ПОМ ПП 2'!I55+'ПОМ ПП 2'!I127+'ПОМ ПП 2'!I532</f>
        <v>0</v>
      </c>
      <c r="H61" s="36">
        <f>'[1]ПОМ ПП 2'!J127+'[1]ПОМ ПП 2'!J55+'[1]ПОМ ПП 2'!J436</f>
        <v>0</v>
      </c>
    </row>
    <row r="62" spans="1:8" ht="16.5" thickBot="1" x14ac:dyDescent="0.3">
      <c r="A62" s="16"/>
      <c r="B62" s="13" t="s">
        <v>130</v>
      </c>
      <c r="C62" s="36">
        <f t="shared" si="4"/>
        <v>0</v>
      </c>
      <c r="D62" s="36">
        <f>'ПОМ ПП 2'!F56+'ПОМ ПП 2'!F128+'ПОМ ПП 2'!F533</f>
        <v>0</v>
      </c>
      <c r="E62" s="36">
        <f>'ПОМ ПП 2'!G56+'ПОМ ПП 2'!G128+'ПОМ ПП 2'!G533</f>
        <v>0</v>
      </c>
      <c r="F62" s="36">
        <f>'ПОМ ПП 2'!H56+'ПОМ ПП 2'!H128+'ПОМ ПП 2'!H533</f>
        <v>0</v>
      </c>
      <c r="G62" s="36">
        <f>'ПОМ ПП 2'!I56+'ПОМ ПП 2'!I128+'ПОМ ПП 2'!I533</f>
        <v>0</v>
      </c>
      <c r="H62" s="36">
        <f>'[1]ПОМ ПП 2'!J128+'[1]ПОМ ПП 2'!J56+'[1]ПОМ ПП 2'!J437</f>
        <v>0</v>
      </c>
    </row>
    <row r="63" spans="1:8" ht="16.5" thickBot="1" x14ac:dyDescent="0.3">
      <c r="A63" s="16"/>
      <c r="B63" s="13" t="s">
        <v>131</v>
      </c>
      <c r="C63" s="39">
        <f t="shared" si="4"/>
        <v>0</v>
      </c>
      <c r="D63" s="36">
        <f>'ПОМ ПП 2'!F57+'ПОМ ПП 2'!F129+'ПОМ ПП 2'!F534</f>
        <v>0</v>
      </c>
      <c r="E63" s="36">
        <f>'ПОМ ПП 2'!G57+'ПОМ ПП 2'!G129+'ПОМ ПП 2'!G534</f>
        <v>0</v>
      </c>
      <c r="F63" s="36">
        <f>'ПОМ ПП 2'!H57+'ПОМ ПП 2'!H129+'ПОМ ПП 2'!H534</f>
        <v>0</v>
      </c>
      <c r="G63" s="36">
        <f>'ПОМ ПП 2'!I57+'ПОМ ПП 2'!I129+'ПОМ ПП 2'!I534</f>
        <v>0</v>
      </c>
      <c r="H63" s="30">
        <f>'[1]ПОМ ПП 2'!J129+'[1]ПОМ ПП 2'!J57+'[1]ПОМ ПП 2'!J438</f>
        <v>0</v>
      </c>
    </row>
    <row r="64" spans="1:8" ht="16.5" thickBot="1" x14ac:dyDescent="0.3">
      <c r="A64" s="16"/>
      <c r="B64" s="13" t="s">
        <v>134</v>
      </c>
      <c r="C64" s="30">
        <f t="shared" si="4"/>
        <v>0</v>
      </c>
      <c r="D64" s="30"/>
      <c r="E64" s="31"/>
      <c r="F64" s="31"/>
      <c r="G64" s="31"/>
      <c r="H64" s="33"/>
    </row>
    <row r="65" spans="1:8" s="1" customFormat="1" ht="32.25" thickBot="1" x14ac:dyDescent="0.3">
      <c r="A65" s="21"/>
      <c r="B65" s="20" t="s">
        <v>323</v>
      </c>
      <c r="C65" s="35">
        <f t="shared" si="4"/>
        <v>818.65573000000006</v>
      </c>
      <c r="D65" s="35">
        <f>SUM(D66:D69)</f>
        <v>103.88</v>
      </c>
      <c r="E65" s="35">
        <f>SUM(E66:E69)</f>
        <v>714.77573000000007</v>
      </c>
      <c r="F65" s="35">
        <f>SUM(F66:F69)</f>
        <v>0</v>
      </c>
      <c r="G65" s="35">
        <f>SUM(G66:G69)</f>
        <v>0</v>
      </c>
      <c r="H65" s="35">
        <f>SUM(H66:H69)</f>
        <v>0</v>
      </c>
    </row>
    <row r="66" spans="1:8" ht="32.25" thickBot="1" x14ac:dyDescent="0.3">
      <c r="A66" s="16"/>
      <c r="B66" s="16" t="s">
        <v>129</v>
      </c>
      <c r="C66" s="36">
        <f t="shared" si="4"/>
        <v>626.28633000000002</v>
      </c>
      <c r="D66" s="36">
        <f>'ПОМ ПП 2'!F162+'ПОМ ПП 2'!F60</f>
        <v>39.505600000000001</v>
      </c>
      <c r="E66" s="36">
        <f>'ПОМ ПП 2'!G465+'ПОМ ПП 2'!G295+'ПОМ ПП 2'!G162+'ПОМ ПП 2'!G60</f>
        <v>586.78073000000006</v>
      </c>
      <c r="F66" s="36">
        <f>'ПОМ ПП 2'!H162+'ПОМ ПП 2'!H60</f>
        <v>0</v>
      </c>
      <c r="G66" s="36">
        <f>'ПОМ ПП 2'!I162+'ПОМ ПП 2'!I60</f>
        <v>0</v>
      </c>
      <c r="H66" s="36">
        <f>'ПОМ ПП 2'!J162+'ПОМ ПП 2'!J60</f>
        <v>0</v>
      </c>
    </row>
    <row r="67" spans="1:8" ht="16.5" thickBot="1" x14ac:dyDescent="0.3">
      <c r="A67" s="16"/>
      <c r="B67" s="13" t="s">
        <v>124</v>
      </c>
      <c r="C67" s="36">
        <f t="shared" si="4"/>
        <v>192.36939999999998</v>
      </c>
      <c r="D67" s="36">
        <f>'ПОМ ПП 2'!F163+'ПОМ ПП 2'!F61</f>
        <v>64.374399999999994</v>
      </c>
      <c r="E67" s="36">
        <f>'ПОМ ПП 2'!G466+'ПОМ ПП 2'!G296+'ПОМ ПП 2'!G163+'ПОМ ПП 2'!G61</f>
        <v>127.995</v>
      </c>
      <c r="F67" s="36">
        <f>'ПОМ ПП 2'!H163+'ПОМ ПП 2'!H61</f>
        <v>0</v>
      </c>
      <c r="G67" s="36">
        <f>'ПОМ ПП 2'!I163+'ПОМ ПП 2'!I61</f>
        <v>0</v>
      </c>
      <c r="H67" s="36">
        <f>'ПОМ ПП 2'!J163+'ПОМ ПП 2'!J61</f>
        <v>0</v>
      </c>
    </row>
    <row r="68" spans="1:8" ht="16.5" thickBot="1" x14ac:dyDescent="0.3">
      <c r="A68" s="16"/>
      <c r="B68" s="13" t="s">
        <v>130</v>
      </c>
      <c r="C68" s="36">
        <f t="shared" si="4"/>
        <v>0</v>
      </c>
      <c r="D68" s="36">
        <f>'ПОМ ПП 2'!F164+'ПОМ ПП 2'!F62</f>
        <v>0</v>
      </c>
      <c r="E68" s="36">
        <f>'ПОМ ПП 2'!G467+'ПОМ ПП 2'!G297+'ПОМ ПП 2'!G164+'ПОМ ПП 2'!G62</f>
        <v>0</v>
      </c>
      <c r="F68" s="36">
        <f>'ПОМ ПП 2'!H164+'ПОМ ПП 2'!H62</f>
        <v>0</v>
      </c>
      <c r="G68" s="36">
        <f>'ПОМ ПП 2'!I164+'ПОМ ПП 2'!I62</f>
        <v>0</v>
      </c>
      <c r="H68" s="36">
        <f>'ПОМ ПП 2'!J164+'ПОМ ПП 2'!J62</f>
        <v>0</v>
      </c>
    </row>
    <row r="69" spans="1:8" ht="16.5" thickBot="1" x14ac:dyDescent="0.3">
      <c r="A69" s="16"/>
      <c r="B69" s="13" t="s">
        <v>131</v>
      </c>
      <c r="C69" s="30">
        <f t="shared" si="4"/>
        <v>0</v>
      </c>
      <c r="D69" s="36">
        <f>'ПОМ ПП 2'!F165+'ПОМ ПП 2'!F63</f>
        <v>0</v>
      </c>
      <c r="E69" s="36">
        <f>'ПОМ ПП 2'!G468+'ПОМ ПП 2'!G298+'ПОМ ПП 2'!G165+'ПОМ ПП 2'!G63</f>
        <v>0</v>
      </c>
      <c r="F69" s="36">
        <f>'ПОМ ПП 2'!H165+'ПОМ ПП 2'!H63</f>
        <v>0</v>
      </c>
      <c r="G69" s="36">
        <f>'ПОМ ПП 2'!I165+'ПОМ ПП 2'!I63</f>
        <v>0</v>
      </c>
      <c r="H69" s="36">
        <f>'ПОМ ПП 2'!J165+'ПОМ ПП 2'!J63</f>
        <v>0</v>
      </c>
    </row>
    <row r="70" spans="1:8" ht="16.5" thickBot="1" x14ac:dyDescent="0.3">
      <c r="A70" s="16"/>
      <c r="B70" s="13" t="s">
        <v>134</v>
      </c>
      <c r="C70" s="30">
        <f t="shared" si="4"/>
        <v>103.88</v>
      </c>
      <c r="D70" s="30">
        <f>D66+D67</f>
        <v>103.88</v>
      </c>
      <c r="E70" s="31"/>
      <c r="F70" s="31"/>
      <c r="G70" s="31"/>
      <c r="H70" s="31"/>
    </row>
    <row r="71" spans="1:8" s="1" customFormat="1" ht="32.25" thickBot="1" x14ac:dyDescent="0.3">
      <c r="A71" s="21"/>
      <c r="B71" s="20" t="s">
        <v>324</v>
      </c>
      <c r="C71" s="35">
        <f t="shared" si="4"/>
        <v>3369.7135600000001</v>
      </c>
      <c r="D71" s="35">
        <f>SUM(D72:D75)</f>
        <v>2370.4850000000001</v>
      </c>
      <c r="E71" s="35">
        <f>SUM(E72:E75)</f>
        <v>999.22856000000002</v>
      </c>
      <c r="F71" s="35">
        <f>SUM(F72:F75)</f>
        <v>0</v>
      </c>
      <c r="G71" s="35">
        <f>SUM(G72:G75)</f>
        <v>0</v>
      </c>
      <c r="H71" s="35">
        <f>SUM(H72:H75)</f>
        <v>0</v>
      </c>
    </row>
    <row r="72" spans="1:8" ht="32.25" thickBot="1" x14ac:dyDescent="0.3">
      <c r="A72" s="16"/>
      <c r="B72" s="16" t="s">
        <v>129</v>
      </c>
      <c r="C72" s="36">
        <f t="shared" si="4"/>
        <v>2482.6270500000001</v>
      </c>
      <c r="D72" s="36">
        <f>'ПОМ ПП 2'!F150+'ПОМ ПП 2'!F168+'ПОМ ПП 2'!F253</f>
        <v>2122.605</v>
      </c>
      <c r="E72" s="36">
        <f>'ПОМ ПП 2'!G150+'ПОМ ПП 2'!G168+'ПОМ ПП 2'!G253+'ПОМ ПП 2'!G537</f>
        <v>360.02204999999998</v>
      </c>
      <c r="F72" s="36">
        <f>'ПОМ ПП 2'!H150+'ПОМ ПП 2'!H168+'ПОМ ПП 2'!H253</f>
        <v>0</v>
      </c>
      <c r="G72" s="36">
        <f>'ПОМ ПП 2'!I150+'ПОМ ПП 2'!I168+'ПОМ ПП 2'!I253</f>
        <v>0</v>
      </c>
      <c r="H72" s="36">
        <f>'ПОМ ПП 2'!J150+'ПОМ ПП 2'!J168+'ПОМ ПП 2'!J253</f>
        <v>0</v>
      </c>
    </row>
    <row r="73" spans="1:8" ht="16.5" thickBot="1" x14ac:dyDescent="0.3">
      <c r="A73" s="16"/>
      <c r="B73" s="13" t="s">
        <v>124</v>
      </c>
      <c r="C73" s="36">
        <f t="shared" si="4"/>
        <v>887.08650999999998</v>
      </c>
      <c r="D73" s="36">
        <f>'ПОМ ПП 2'!F151+'ПОМ ПП 2'!F169+'ПОМ ПП 2'!F254</f>
        <v>247.88</v>
      </c>
      <c r="E73" s="36">
        <f>'ПОМ ПП 2'!G151+'ПОМ ПП 2'!G169+'ПОМ ПП 2'!G254+'ПОМ ПП 2'!G538</f>
        <v>639.20650999999998</v>
      </c>
      <c r="F73" s="36">
        <f>'ПОМ ПП 2'!H151+'ПОМ ПП 2'!H169+'ПОМ ПП 2'!H254</f>
        <v>0</v>
      </c>
      <c r="G73" s="36">
        <f>'ПОМ ПП 2'!I151+'ПОМ ПП 2'!I169+'ПОМ ПП 2'!I254</f>
        <v>0</v>
      </c>
      <c r="H73" s="36">
        <f>'ПОМ ПП 2'!J151+'ПОМ ПП 2'!J169+'ПОМ ПП 2'!J254</f>
        <v>0</v>
      </c>
    </row>
    <row r="74" spans="1:8" ht="16.5" thickBot="1" x14ac:dyDescent="0.3">
      <c r="A74" s="16"/>
      <c r="B74" s="13" t="s">
        <v>130</v>
      </c>
      <c r="C74" s="36">
        <f t="shared" si="4"/>
        <v>0</v>
      </c>
      <c r="D74" s="36">
        <f>'ПОМ ПП 2'!F152+'ПОМ ПП 2'!F170+'ПОМ ПП 2'!F255</f>
        <v>0</v>
      </c>
      <c r="E74" s="36">
        <f>'ПОМ ПП 2'!G152+'ПОМ ПП 2'!G170+'ПОМ ПП 2'!G255+'ПОМ ПП 2'!G539</f>
        <v>0</v>
      </c>
      <c r="F74" s="36">
        <f>'ПОМ ПП 2'!H152+'ПОМ ПП 2'!H170+'ПОМ ПП 2'!H255</f>
        <v>0</v>
      </c>
      <c r="G74" s="36">
        <f>'ПОМ ПП 2'!I152+'ПОМ ПП 2'!I170+'ПОМ ПП 2'!I255</f>
        <v>0</v>
      </c>
      <c r="H74" s="36">
        <f>'ПОМ ПП 2'!J152+'ПОМ ПП 2'!J170+'ПОМ ПП 2'!J255</f>
        <v>0</v>
      </c>
    </row>
    <row r="75" spans="1:8" ht="16.5" thickBot="1" x14ac:dyDescent="0.3">
      <c r="A75" s="16"/>
      <c r="B75" s="13" t="s">
        <v>131</v>
      </c>
      <c r="C75" s="30">
        <f t="shared" si="4"/>
        <v>0</v>
      </c>
      <c r="D75" s="36">
        <f>'ПОМ ПП 2'!F153+'ПОМ ПП 2'!F171+'ПОМ ПП 2'!F256</f>
        <v>0</v>
      </c>
      <c r="E75" s="36">
        <f>'ПОМ ПП 2'!G153+'ПОМ ПП 2'!G171+'ПОМ ПП 2'!G256+'ПОМ ПП 2'!G540</f>
        <v>0</v>
      </c>
      <c r="F75" s="36">
        <f>'ПОМ ПП 2'!H153+'ПОМ ПП 2'!H171+'ПОМ ПП 2'!H256</f>
        <v>0</v>
      </c>
      <c r="G75" s="36">
        <f>'ПОМ ПП 2'!I153+'ПОМ ПП 2'!I171+'ПОМ ПП 2'!I256</f>
        <v>0</v>
      </c>
      <c r="H75" s="36">
        <f>'ПОМ ПП 2'!J153+'ПОМ ПП 2'!J171+'ПОМ ПП 2'!J256</f>
        <v>0</v>
      </c>
    </row>
    <row r="76" spans="1:8" ht="16.5" thickBot="1" x14ac:dyDescent="0.3">
      <c r="A76" s="16"/>
      <c r="B76" s="13" t="s">
        <v>134</v>
      </c>
      <c r="C76" s="30">
        <f t="shared" si="4"/>
        <v>2370.4850000000001</v>
      </c>
      <c r="D76" s="37">
        <f>D72+D73-G72</f>
        <v>2370.4850000000001</v>
      </c>
      <c r="E76" s="38"/>
      <c r="F76" s="38"/>
      <c r="G76" s="38"/>
      <c r="H76" s="38"/>
    </row>
    <row r="77" spans="1:8" s="1" customFormat="1" ht="32.25" thickBot="1" x14ac:dyDescent="0.3">
      <c r="A77" s="21"/>
      <c r="B77" s="20" t="s">
        <v>325</v>
      </c>
      <c r="C77" s="35">
        <f t="shared" si="4"/>
        <v>10969.947319999999</v>
      </c>
      <c r="D77" s="35">
        <f>SUM(D78:D81)</f>
        <v>2373.9316200000003</v>
      </c>
      <c r="E77" s="35">
        <f>SUM(E78:E81)</f>
        <v>8596.0156999999999</v>
      </c>
      <c r="F77" s="35">
        <f>SUM(F78:F81)</f>
        <v>0</v>
      </c>
      <c r="G77" s="35">
        <f>SUM(G78:G81)</f>
        <v>0</v>
      </c>
      <c r="H77" s="35">
        <f>SUM(H78:H81)</f>
        <v>0</v>
      </c>
    </row>
    <row r="78" spans="1:8" ht="32.25" thickBot="1" x14ac:dyDescent="0.3">
      <c r="A78" s="16"/>
      <c r="B78" s="16" t="s">
        <v>129</v>
      </c>
      <c r="C78" s="36">
        <f t="shared" si="4"/>
        <v>4353.8379599999998</v>
      </c>
      <c r="D78" s="36">
        <f>'ПОМ ПП 2'!F579+'ПОМ ПП 2'!F561+'ПОМ ПП 2'!F549+'ПОМ ПП 2'!F477+'ПОМ ПП 2'!F374+'ПОМ ПП 2'!F350+'ПОМ ПП 2'!F301+'ПОМ ПП 2'!F138+'ПОМ ПП 2'!F72</f>
        <v>1256.87366</v>
      </c>
      <c r="E78" s="36">
        <f>'ПОМ ПП 2'!G579+'ПОМ ПП 2'!G561+'ПОМ ПП 2'!G549+'ПОМ ПП 2'!G477+'ПОМ ПП 2'!G374+'ПОМ ПП 2'!G350+'ПОМ ПП 2'!G301+'ПОМ ПП 2'!G138+'ПОМ ПП 2'!G72+130</f>
        <v>3096.9643000000001</v>
      </c>
      <c r="F78" s="36">
        <f>'ПОМ ПП 2'!H579+'ПОМ ПП 2'!H561+'ПОМ ПП 2'!H549+'ПОМ ПП 2'!H477+'ПОМ ПП 2'!H374+'ПОМ ПП 2'!H350+'ПОМ ПП 2'!H301+'ПОМ ПП 2'!H138+'ПОМ ПП 2'!H72</f>
        <v>0</v>
      </c>
      <c r="G78" s="36">
        <f>'ПОМ ПП 2'!I579+'ПОМ ПП 2'!I561+'ПОМ ПП 2'!I549+'ПОМ ПП 2'!I477+'ПОМ ПП 2'!I374+'ПОМ ПП 2'!I350+'ПОМ ПП 2'!I301+'ПОМ ПП 2'!I138+'ПОМ ПП 2'!I72</f>
        <v>0</v>
      </c>
      <c r="H78" s="36">
        <f>'ПОМ ПП 2'!J579+'ПОМ ПП 2'!J561+'ПОМ ПП 2'!J549+'ПОМ ПП 2'!J477+'ПОМ ПП 2'!J374+'ПОМ ПП 2'!J350+'ПОМ ПП 2'!J301+'ПОМ ПП 2'!J138+'ПОМ ПП 2'!J72</f>
        <v>0</v>
      </c>
    </row>
    <row r="79" spans="1:8" ht="16.5" thickBot="1" x14ac:dyDescent="0.3">
      <c r="A79" s="16"/>
      <c r="B79" s="13" t="s">
        <v>124</v>
      </c>
      <c r="C79" s="36">
        <f t="shared" si="4"/>
        <v>4249.0514000000003</v>
      </c>
      <c r="D79" s="36">
        <f>'ПОМ ПП 2'!F580+'ПОМ ПП 2'!F562+'ПОМ ПП 2'!F550+'ПОМ ПП 2'!F478+'ПОМ ПП 2'!F375+'ПОМ ПП 2'!F351+'ПОМ ПП 2'!F302+'ПОМ ПП 2'!F139+'ПОМ ПП 2'!F73</f>
        <v>0</v>
      </c>
      <c r="E79" s="36">
        <f>'ПОМ ПП 2'!G580+'ПОМ ПП 2'!G562+'ПОМ ПП 2'!G550+'ПОМ ПП 2'!G478+'ПОМ ПП 2'!G375+'ПОМ ПП 2'!G351+'ПОМ ПП 2'!G302+'ПОМ ПП 2'!G139+'ПОМ ПП 2'!G73</f>
        <v>4249.0514000000003</v>
      </c>
      <c r="F79" s="36">
        <f>'ПОМ ПП 2'!H580+'ПОМ ПП 2'!H562+'ПОМ ПП 2'!H550+'ПОМ ПП 2'!H478+'ПОМ ПП 2'!H375+'ПОМ ПП 2'!H351+'ПОМ ПП 2'!H302+'ПОМ ПП 2'!H139+'ПОМ ПП 2'!H73</f>
        <v>0</v>
      </c>
      <c r="G79" s="36">
        <f>'ПОМ ПП 2'!I580+'ПОМ ПП 2'!I562+'ПОМ ПП 2'!I550+'ПОМ ПП 2'!I478+'ПОМ ПП 2'!I375+'ПОМ ПП 2'!I351+'ПОМ ПП 2'!I302+'ПОМ ПП 2'!I139+'ПОМ ПП 2'!I73</f>
        <v>0</v>
      </c>
      <c r="H79" s="36">
        <f>'ПОМ ПП 2'!J580+'ПОМ ПП 2'!J562+'ПОМ ПП 2'!J550+'ПОМ ПП 2'!J478+'ПОМ ПП 2'!J375+'ПОМ ПП 2'!J351+'ПОМ ПП 2'!J302+'ПОМ ПП 2'!J139+'ПОМ ПП 2'!J73</f>
        <v>0</v>
      </c>
    </row>
    <row r="80" spans="1:8" ht="16.5" thickBot="1" x14ac:dyDescent="0.3">
      <c r="A80" s="16"/>
      <c r="B80" s="13" t="s">
        <v>130</v>
      </c>
      <c r="C80" s="36">
        <f t="shared" si="4"/>
        <v>1117.0579600000001</v>
      </c>
      <c r="D80" s="36">
        <f>'ПОМ ПП 2'!F581+'ПОМ ПП 2'!F563+'ПОМ ПП 2'!F551+'ПОМ ПП 2'!F479+'ПОМ ПП 2'!F376+'ПОМ ПП 2'!F352+'ПОМ ПП 2'!F303+'ПОМ ПП 2'!F140+'ПОМ ПП 2'!F74</f>
        <v>1117.0579600000001</v>
      </c>
      <c r="E80" s="36">
        <f>'ПОМ ПП 2'!G581+'ПОМ ПП 2'!G563+'ПОМ ПП 2'!G551+'ПОМ ПП 2'!G479+'ПОМ ПП 2'!G376+'ПОМ ПП 2'!G352+'ПОМ ПП 2'!G303+'ПОМ ПП 2'!G140+'ПОМ ПП 2'!G74</f>
        <v>0</v>
      </c>
      <c r="F80" s="36">
        <f>'ПОМ ПП 2'!H581+'ПОМ ПП 2'!H563+'ПОМ ПП 2'!H551+'ПОМ ПП 2'!H479+'ПОМ ПП 2'!H376+'ПОМ ПП 2'!H352+'ПОМ ПП 2'!H303+'ПОМ ПП 2'!H140+'ПОМ ПП 2'!H74</f>
        <v>0</v>
      </c>
      <c r="G80" s="36">
        <f>'ПОМ ПП 2'!I581+'ПОМ ПП 2'!I563+'ПОМ ПП 2'!I551+'ПОМ ПП 2'!I479+'ПОМ ПП 2'!I376+'ПОМ ПП 2'!I352+'ПОМ ПП 2'!I303+'ПОМ ПП 2'!I140+'ПОМ ПП 2'!I74</f>
        <v>0</v>
      </c>
      <c r="H80" s="36">
        <f>'ПОМ ПП 2'!J581+'ПОМ ПП 2'!J563+'ПОМ ПП 2'!J551+'ПОМ ПП 2'!J479+'ПОМ ПП 2'!J376+'ПОМ ПП 2'!J352+'ПОМ ПП 2'!J303+'ПОМ ПП 2'!J140+'ПОМ ПП 2'!J74</f>
        <v>0</v>
      </c>
    </row>
    <row r="81" spans="1:8" ht="16.5" thickBot="1" x14ac:dyDescent="0.3">
      <c r="A81" s="16"/>
      <c r="B81" s="13" t="s">
        <v>131</v>
      </c>
      <c r="C81" s="30">
        <f t="shared" si="4"/>
        <v>1250</v>
      </c>
      <c r="D81" s="36">
        <f>'ПОМ ПП 2'!F582+'ПОМ ПП 2'!F564+'ПОМ ПП 2'!F552+'ПОМ ПП 2'!F480+'ПОМ ПП 2'!F377+'ПОМ ПП 2'!F353+'ПОМ ПП 2'!F304+'ПОМ ПП 2'!F141+'ПОМ ПП 2'!F75</f>
        <v>0</v>
      </c>
      <c r="E81" s="36">
        <f>'ПОМ ПП 2'!G582+'ПОМ ПП 2'!G564+'ПОМ ПП 2'!G552+'ПОМ ПП 2'!G480+'ПОМ ПП 2'!G377+'ПОМ ПП 2'!G353+'ПОМ ПП 2'!G304+'ПОМ ПП 2'!G141+'ПОМ ПП 2'!G75</f>
        <v>1250</v>
      </c>
      <c r="F81" s="36">
        <f>'ПОМ ПП 2'!H582+'ПОМ ПП 2'!H564+'ПОМ ПП 2'!H552+'ПОМ ПП 2'!H480+'ПОМ ПП 2'!H377+'ПОМ ПП 2'!H353+'ПОМ ПП 2'!H304+'ПОМ ПП 2'!H141+'ПОМ ПП 2'!H75</f>
        <v>0</v>
      </c>
      <c r="G81" s="36">
        <f>'ПОМ ПП 2'!I582+'ПОМ ПП 2'!I564+'ПОМ ПП 2'!I552+'ПОМ ПП 2'!I480+'ПОМ ПП 2'!I377+'ПОМ ПП 2'!I353+'ПОМ ПП 2'!I304+'ПОМ ПП 2'!I141+'ПОМ ПП 2'!I75</f>
        <v>0</v>
      </c>
      <c r="H81" s="36">
        <f>'ПОМ ПП 2'!J582+'ПОМ ПП 2'!J564+'ПОМ ПП 2'!J552+'ПОМ ПП 2'!J480+'ПОМ ПП 2'!J377+'ПОМ ПП 2'!J353+'ПОМ ПП 2'!J304+'ПОМ ПП 2'!J141+'ПОМ ПП 2'!J75</f>
        <v>0</v>
      </c>
    </row>
    <row r="82" spans="1:8" ht="16.5" thickBot="1" x14ac:dyDescent="0.3">
      <c r="A82" s="16"/>
      <c r="B82" s="13" t="s">
        <v>134</v>
      </c>
      <c r="C82" s="30">
        <f t="shared" si="4"/>
        <v>1175.8504800000001</v>
      </c>
      <c r="D82" s="37">
        <f>'[1]ПОМ ПП 2'!F70</f>
        <v>1175.8504800000001</v>
      </c>
      <c r="E82" s="38">
        <f>'[1]ПОМ ПП 2'!G70</f>
        <v>0</v>
      </c>
      <c r="F82" s="38">
        <f>'[1]ПОМ ПП 2'!H70</f>
        <v>0</v>
      </c>
      <c r="G82" s="38">
        <f>'[1]ПОМ ПП 2'!I70</f>
        <v>0</v>
      </c>
      <c r="H82" s="38">
        <f>'[1]ПОМ ПП 2'!J70</f>
        <v>0</v>
      </c>
    </row>
    <row r="83" spans="1:8" s="1" customFormat="1" ht="48" thickBot="1" x14ac:dyDescent="0.3">
      <c r="A83" s="21"/>
      <c r="B83" s="20" t="s">
        <v>326</v>
      </c>
      <c r="C83" s="35">
        <f t="shared" si="4"/>
        <v>14941.96983</v>
      </c>
      <c r="D83" s="35">
        <f>SUM(D84:D87)</f>
        <v>10818.43483</v>
      </c>
      <c r="E83" s="35">
        <f>SUM(E84:E87)</f>
        <v>3923.5349999999999</v>
      </c>
      <c r="F83" s="35">
        <f>SUM(F84:F87)</f>
        <v>0</v>
      </c>
      <c r="G83" s="35">
        <f>SUM(G84:G87)</f>
        <v>0</v>
      </c>
      <c r="H83" s="35">
        <f>SUM(H84:H87)</f>
        <v>200</v>
      </c>
    </row>
    <row r="84" spans="1:8" ht="32.25" thickBot="1" x14ac:dyDescent="0.3">
      <c r="A84" s="16"/>
      <c r="B84" s="16" t="s">
        <v>129</v>
      </c>
      <c r="C84" s="36">
        <f t="shared" si="4"/>
        <v>10070.597529999999</v>
      </c>
      <c r="D84" s="36">
        <f>'ПОМ ПП 2'!F525+'ПОМ ПП 2'!F519+'ПОМ ПП 2'!F507+'ПОМ ПП 2'!F501+'ПОМ ПП 2'!F495+'ПОМ ПП 2'!F483+'ПОМ ПП 2'!F423+'ПОМ ПП 2'!F399+'ПОМ ПП 2'!F338+'ПОМ ПП 2'!F289+'ПОМ ПП 2'!F247+'ПОМ ПП 2'!F156+'ПОМ ПП 2'!F144+'ПОМ ПП 2'!F78</f>
        <v>5947.0625300000002</v>
      </c>
      <c r="E84" s="36">
        <f>'ПОМ ПП 2'!G567+'ПОМ ПП 2'!G555+'ПОМ ПП 2'!G525+'ПОМ ПП 2'!G519+'ПОМ ПП 2'!G507+'ПОМ ПП 2'!G501+'ПОМ ПП 2'!G495+'ПОМ ПП 2'!G483+'ПОМ ПП 2'!G429+'ПОМ ПП 2'!G423+'ПОМ ПП 2'!G399+'ПОМ ПП 2'!G338+'ПОМ ПП 2'!G289+'ПОМ ПП 2'!G247+'ПОМ ПП 2'!G156+'ПОМ ПП 2'!G144+'ПОМ ПП 2'!G78+650</f>
        <v>3923.5349999999999</v>
      </c>
      <c r="F84" s="36">
        <f>'ПОМ ПП 2'!H525+'ПОМ ПП 2'!H519+'ПОМ ПП 2'!H507+'ПОМ ПП 2'!H501+'ПОМ ПП 2'!H495+'ПОМ ПП 2'!H483+'ПОМ ПП 2'!H423+'ПОМ ПП 2'!H399+'ПОМ ПП 2'!H338+'ПОМ ПП 2'!H289+'ПОМ ПП 2'!H247+'ПОМ ПП 2'!H156+'ПОМ ПП 2'!H144+'ПОМ ПП 2'!H78</f>
        <v>0</v>
      </c>
      <c r="G84" s="36">
        <f>'ПОМ ПП 2'!I525+'ПОМ ПП 2'!I519+'ПОМ ПП 2'!I507+'ПОМ ПП 2'!I501+'ПОМ ПП 2'!I495+'ПОМ ПП 2'!I483+'ПОМ ПП 2'!I423+'ПОМ ПП 2'!I399+'ПОМ ПП 2'!I338+'ПОМ ПП 2'!I289+'ПОМ ПП 2'!I247+'ПОМ ПП 2'!I156+'ПОМ ПП 2'!I144+'ПОМ ПП 2'!I78</f>
        <v>0</v>
      </c>
      <c r="H84" s="36">
        <f>'ПОМ ПП 2'!J525+'ПОМ ПП 2'!J519+'ПОМ ПП 2'!J507+'ПОМ ПП 2'!J501+'ПОМ ПП 2'!J495+'ПОМ ПП 2'!J483+'ПОМ ПП 2'!J423+'ПОМ ПП 2'!J399+'ПОМ ПП 2'!J338+'ПОМ ПП 2'!J289+'ПОМ ПП 2'!J247+'ПОМ ПП 2'!J156+'ПОМ ПП 2'!J144+'ПОМ ПП 2'!J78</f>
        <v>200</v>
      </c>
    </row>
    <row r="85" spans="1:8" ht="16.5" thickBot="1" x14ac:dyDescent="0.3">
      <c r="A85" s="16"/>
      <c r="B85" s="13" t="s">
        <v>124</v>
      </c>
      <c r="C85" s="36">
        <f t="shared" si="4"/>
        <v>2952.02</v>
      </c>
      <c r="D85" s="36">
        <f>'ПОМ ПП 2'!F526+'ПОМ ПП 2'!F520+'ПОМ ПП 2'!F508+'ПОМ ПП 2'!F502+'ПОМ ПП 2'!F496+'ПОМ ПП 2'!F484+'ПОМ ПП 2'!F424+'ПОМ ПП 2'!F400+'ПОМ ПП 2'!F339+'ПОМ ПП 2'!F290+'ПОМ ПП 2'!F248+'ПОМ ПП 2'!F157+'ПОМ ПП 2'!F145+'ПОМ ПП 2'!F79</f>
        <v>2952.02</v>
      </c>
      <c r="E85" s="36">
        <f>'ПОМ ПП 2'!G568+'ПОМ ПП 2'!G556+'ПОМ ПП 2'!G526+'ПОМ ПП 2'!G520+'ПОМ ПП 2'!G508+'ПОМ ПП 2'!G502+'ПОМ ПП 2'!G496+'ПОМ ПП 2'!G484+'ПОМ ПП 2'!G430+'ПОМ ПП 2'!G424+'ПОМ ПП 2'!G400+'ПОМ ПП 2'!G339+'ПОМ ПП 2'!G290+'ПОМ ПП 2'!G248+'ПОМ ПП 2'!G157+'ПОМ ПП 2'!G145+'ПОМ ПП 2'!G79</f>
        <v>0</v>
      </c>
      <c r="F85" s="36">
        <f>'ПОМ ПП 2'!H526+'ПОМ ПП 2'!H520+'ПОМ ПП 2'!H508+'ПОМ ПП 2'!H502+'ПОМ ПП 2'!H496+'ПОМ ПП 2'!H484+'ПОМ ПП 2'!H424+'ПОМ ПП 2'!H400+'ПОМ ПП 2'!H339+'ПОМ ПП 2'!H290+'ПОМ ПП 2'!H248+'ПОМ ПП 2'!H157+'ПОМ ПП 2'!H145+'ПОМ ПП 2'!H79</f>
        <v>0</v>
      </c>
      <c r="G85" s="36">
        <f>'ПОМ ПП 2'!I526+'ПОМ ПП 2'!I520+'ПОМ ПП 2'!I508+'ПОМ ПП 2'!I502+'ПОМ ПП 2'!I496+'ПОМ ПП 2'!I484+'ПОМ ПП 2'!I424+'ПОМ ПП 2'!I400+'ПОМ ПП 2'!I339+'ПОМ ПП 2'!I290+'ПОМ ПП 2'!I248+'ПОМ ПП 2'!I157+'ПОМ ПП 2'!I145+'ПОМ ПП 2'!I79</f>
        <v>0</v>
      </c>
      <c r="H85" s="36">
        <f>'ПОМ ПП 2'!J526+'ПОМ ПП 2'!J520+'ПОМ ПП 2'!J508+'ПОМ ПП 2'!J502+'ПОМ ПП 2'!J496+'ПОМ ПП 2'!J484+'ПОМ ПП 2'!J424+'ПОМ ПП 2'!J400+'ПОМ ПП 2'!J339+'ПОМ ПП 2'!J290+'ПОМ ПП 2'!J248+'ПОМ ПП 2'!J157+'ПОМ ПП 2'!J145+'ПОМ ПП 2'!J79</f>
        <v>0</v>
      </c>
    </row>
    <row r="86" spans="1:8" ht="16.5" thickBot="1" x14ac:dyDescent="0.3">
      <c r="A86" s="16"/>
      <c r="B86" s="13" t="s">
        <v>130</v>
      </c>
      <c r="C86" s="36">
        <f t="shared" si="4"/>
        <v>1919.3523</v>
      </c>
      <c r="D86" s="36">
        <f>'ПОМ ПП 2'!F527+'ПОМ ПП 2'!F521+'ПОМ ПП 2'!F509+'ПОМ ПП 2'!F503+'ПОМ ПП 2'!F497+'ПОМ ПП 2'!F485+'ПОМ ПП 2'!F425+'ПОМ ПП 2'!F401+'ПОМ ПП 2'!F340+'ПОМ ПП 2'!F291+'ПОМ ПП 2'!F249+'ПОМ ПП 2'!F158+'ПОМ ПП 2'!F146+'ПОМ ПП 2'!F80</f>
        <v>1919.3523</v>
      </c>
      <c r="E86" s="36">
        <f>'ПОМ ПП 2'!G569+'ПОМ ПП 2'!G557+'ПОМ ПП 2'!G527+'ПОМ ПП 2'!G521+'ПОМ ПП 2'!G509+'ПОМ ПП 2'!G503+'ПОМ ПП 2'!G497+'ПОМ ПП 2'!G485+'ПОМ ПП 2'!G431+'ПОМ ПП 2'!G425+'ПОМ ПП 2'!G401+'ПОМ ПП 2'!G340+'ПОМ ПП 2'!G291+'ПОМ ПП 2'!G249+'ПОМ ПП 2'!G158+'ПОМ ПП 2'!G146+'ПОМ ПП 2'!G80</f>
        <v>0</v>
      </c>
      <c r="F86" s="36">
        <f>'ПОМ ПП 2'!H527+'ПОМ ПП 2'!H521+'ПОМ ПП 2'!H509+'ПОМ ПП 2'!H503+'ПОМ ПП 2'!H497+'ПОМ ПП 2'!H485+'ПОМ ПП 2'!H425+'ПОМ ПП 2'!H401+'ПОМ ПП 2'!H340+'ПОМ ПП 2'!H291+'ПОМ ПП 2'!H249+'ПОМ ПП 2'!H158+'ПОМ ПП 2'!H146+'ПОМ ПП 2'!H80</f>
        <v>0</v>
      </c>
      <c r="G86" s="36">
        <f>'ПОМ ПП 2'!I527+'ПОМ ПП 2'!I521+'ПОМ ПП 2'!I509+'ПОМ ПП 2'!I503+'ПОМ ПП 2'!I497+'ПОМ ПП 2'!I485+'ПОМ ПП 2'!I425+'ПОМ ПП 2'!I401+'ПОМ ПП 2'!I340+'ПОМ ПП 2'!I291+'ПОМ ПП 2'!I249+'ПОМ ПП 2'!I158+'ПОМ ПП 2'!I146+'ПОМ ПП 2'!I80</f>
        <v>0</v>
      </c>
      <c r="H86" s="36">
        <f>'ПОМ ПП 2'!J527+'ПОМ ПП 2'!J521+'ПОМ ПП 2'!J509+'ПОМ ПП 2'!J503+'ПОМ ПП 2'!J497+'ПОМ ПП 2'!J485+'ПОМ ПП 2'!J425+'ПОМ ПП 2'!J401+'ПОМ ПП 2'!J340+'ПОМ ПП 2'!J291+'ПОМ ПП 2'!J249+'ПОМ ПП 2'!J158+'ПОМ ПП 2'!J146+'ПОМ ПП 2'!J80</f>
        <v>0</v>
      </c>
    </row>
    <row r="87" spans="1:8" ht="16.5" thickBot="1" x14ac:dyDescent="0.3">
      <c r="A87" s="16"/>
      <c r="B87" s="13" t="s">
        <v>131</v>
      </c>
      <c r="C87" s="30">
        <f t="shared" si="4"/>
        <v>0</v>
      </c>
      <c r="D87" s="36">
        <f>'ПОМ ПП 2'!F528+'ПОМ ПП 2'!F522+'ПОМ ПП 2'!F510+'ПОМ ПП 2'!F504+'ПОМ ПП 2'!F498+'ПОМ ПП 2'!F486+'ПОМ ПП 2'!F426+'ПОМ ПП 2'!F402+'ПОМ ПП 2'!F341+'ПОМ ПП 2'!F292+'ПОМ ПП 2'!F250+'ПОМ ПП 2'!F159+'ПОМ ПП 2'!F147+'ПОМ ПП 2'!F81</f>
        <v>0</v>
      </c>
      <c r="E87" s="36">
        <f>'ПОМ ПП 2'!G570+'ПОМ ПП 2'!G558+'ПОМ ПП 2'!G528+'ПОМ ПП 2'!G522+'ПОМ ПП 2'!G510+'ПОМ ПП 2'!G504+'ПОМ ПП 2'!G498+'ПОМ ПП 2'!G486+'ПОМ ПП 2'!G432+'ПОМ ПП 2'!G426+'ПОМ ПП 2'!G402+'ПОМ ПП 2'!G341+'ПОМ ПП 2'!G292+'ПОМ ПП 2'!G250+'ПОМ ПП 2'!G159+'ПОМ ПП 2'!G147+'ПОМ ПП 2'!G81</f>
        <v>0</v>
      </c>
      <c r="F87" s="36">
        <f>'ПОМ ПП 2'!H528+'ПОМ ПП 2'!H522+'ПОМ ПП 2'!H510+'ПОМ ПП 2'!H504+'ПОМ ПП 2'!H498+'ПОМ ПП 2'!H486+'ПОМ ПП 2'!H426+'ПОМ ПП 2'!H402+'ПОМ ПП 2'!H341+'ПОМ ПП 2'!H292+'ПОМ ПП 2'!H250+'ПОМ ПП 2'!H159+'ПОМ ПП 2'!H147+'ПОМ ПП 2'!H81</f>
        <v>0</v>
      </c>
      <c r="G87" s="36">
        <f>'ПОМ ПП 2'!I528+'ПОМ ПП 2'!I522+'ПОМ ПП 2'!I510+'ПОМ ПП 2'!I504+'ПОМ ПП 2'!I498+'ПОМ ПП 2'!I486+'ПОМ ПП 2'!I426+'ПОМ ПП 2'!I402+'ПОМ ПП 2'!I341+'ПОМ ПП 2'!I292+'ПОМ ПП 2'!I250+'ПОМ ПП 2'!I159+'ПОМ ПП 2'!I147+'ПОМ ПП 2'!I81</f>
        <v>0</v>
      </c>
      <c r="H87" s="36">
        <f>'ПОМ ПП 2'!J528+'ПОМ ПП 2'!J522+'ПОМ ПП 2'!J510+'ПОМ ПП 2'!J504+'ПОМ ПП 2'!J498+'ПОМ ПП 2'!J486+'ПОМ ПП 2'!J426+'ПОМ ПП 2'!J402+'ПОМ ПП 2'!J341+'ПОМ ПП 2'!J292+'ПОМ ПП 2'!J250+'ПОМ ПП 2'!J159+'ПОМ ПП 2'!J147+'ПОМ ПП 2'!J81</f>
        <v>0</v>
      </c>
    </row>
    <row r="88" spans="1:8" ht="16.5" thickBot="1" x14ac:dyDescent="0.3">
      <c r="A88" s="16"/>
      <c r="B88" s="13" t="s">
        <v>134</v>
      </c>
      <c r="C88" s="30">
        <f t="shared" si="4"/>
        <v>1175.85049</v>
      </c>
      <c r="D88" s="37">
        <f>'[1]ПОМ ПП 2'!F76</f>
        <v>1175.85049</v>
      </c>
      <c r="E88" s="38">
        <f>'[1]ПОМ ПП 2'!G76</f>
        <v>0</v>
      </c>
      <c r="F88" s="38">
        <f>'[1]ПОМ ПП 2'!H76</f>
        <v>0</v>
      </c>
      <c r="G88" s="38">
        <f>'[1]ПОМ ПП 2'!I76</f>
        <v>0</v>
      </c>
      <c r="H88" s="38">
        <f>'[1]ПОМ ПП 2'!J76</f>
        <v>0</v>
      </c>
    </row>
    <row r="89" spans="1:8" s="1" customFormat="1" ht="32.25" hidden="1" thickBot="1" x14ac:dyDescent="0.3">
      <c r="A89" s="21"/>
      <c r="B89" s="20" t="s">
        <v>137</v>
      </c>
      <c r="C89" s="35">
        <f t="shared" si="4"/>
        <v>0</v>
      </c>
      <c r="D89" s="35">
        <f>SUM(D90:D93)</f>
        <v>0</v>
      </c>
      <c r="E89" s="35">
        <f>SUM(E90:E93)</f>
        <v>0</v>
      </c>
      <c r="F89" s="35">
        <f>SUM(F90:F93)</f>
        <v>0</v>
      </c>
      <c r="G89" s="35">
        <f>SUM(G90:G93)</f>
        <v>0</v>
      </c>
      <c r="H89" s="35">
        <f>SUM(H90:H93)</f>
        <v>0</v>
      </c>
    </row>
    <row r="90" spans="1:8" ht="32.25" hidden="1" thickBot="1" x14ac:dyDescent="0.3">
      <c r="A90" s="16"/>
      <c r="B90" s="16" t="s">
        <v>129</v>
      </c>
      <c r="C90" s="36">
        <f t="shared" si="4"/>
        <v>0</v>
      </c>
      <c r="D90" s="36"/>
      <c r="E90" s="36"/>
      <c r="F90" s="36"/>
      <c r="G90" s="36"/>
      <c r="H90" s="36"/>
    </row>
    <row r="91" spans="1:8" ht="16.5" hidden="1" thickBot="1" x14ac:dyDescent="0.3">
      <c r="A91" s="16"/>
      <c r="B91" s="13" t="s">
        <v>124</v>
      </c>
      <c r="C91" s="36">
        <f t="shared" si="4"/>
        <v>0</v>
      </c>
      <c r="D91" s="36"/>
      <c r="E91" s="36"/>
      <c r="F91" s="36"/>
      <c r="G91" s="36"/>
      <c r="H91" s="36"/>
    </row>
    <row r="92" spans="1:8" ht="16.5" hidden="1" thickBot="1" x14ac:dyDescent="0.3">
      <c r="A92" s="16"/>
      <c r="B92" s="13" t="s">
        <v>130</v>
      </c>
      <c r="C92" s="36">
        <f t="shared" si="4"/>
        <v>0</v>
      </c>
      <c r="D92" s="36"/>
      <c r="E92" s="36"/>
      <c r="F92" s="36"/>
      <c r="G92" s="36"/>
      <c r="H92" s="36"/>
    </row>
    <row r="93" spans="1:8" ht="16.5" hidden="1" thickBot="1" x14ac:dyDescent="0.3">
      <c r="A93" s="16"/>
      <c r="B93" s="13" t="s">
        <v>131</v>
      </c>
      <c r="C93" s="30">
        <f t="shared" si="4"/>
        <v>0</v>
      </c>
      <c r="D93" s="30"/>
      <c r="E93" s="30"/>
      <c r="F93" s="30"/>
      <c r="G93" s="30"/>
      <c r="H93" s="30"/>
    </row>
    <row r="94" spans="1:8" ht="16.5" hidden="1" thickBot="1" x14ac:dyDescent="0.3">
      <c r="A94" s="16"/>
      <c r="B94" s="13" t="s">
        <v>134</v>
      </c>
      <c r="C94" s="30">
        <f t="shared" si="4"/>
        <v>0</v>
      </c>
      <c r="D94" s="33"/>
      <c r="E94" s="33"/>
      <c r="F94" s="33"/>
      <c r="G94" s="33"/>
      <c r="H94" s="33"/>
    </row>
    <row r="95" spans="1:8" s="1" customFormat="1" ht="32.25" thickBot="1" x14ac:dyDescent="0.3">
      <c r="A95" s="21"/>
      <c r="B95" s="20" t="s">
        <v>327</v>
      </c>
      <c r="C95" s="35">
        <f t="shared" si="4"/>
        <v>13868.28736</v>
      </c>
      <c r="D95" s="35">
        <f>SUM(D96:D99)</f>
        <v>7000</v>
      </c>
      <c r="E95" s="35">
        <f>SUM(E96:E99)</f>
        <v>6868.2873600000003</v>
      </c>
      <c r="F95" s="35">
        <f>SUM(F96:F99)</f>
        <v>0</v>
      </c>
      <c r="G95" s="35">
        <f>SUM(G96:G99)</f>
        <v>0</v>
      </c>
      <c r="H95" s="35">
        <f>SUM(H96:H99)</f>
        <v>0</v>
      </c>
    </row>
    <row r="96" spans="1:8" ht="32.25" thickBot="1" x14ac:dyDescent="0.3">
      <c r="A96" s="16"/>
      <c r="B96" s="16" t="s">
        <v>129</v>
      </c>
      <c r="C96" s="36">
        <f t="shared" si="4"/>
        <v>693.41436999999996</v>
      </c>
      <c r="D96" s="36">
        <f>'ПОМ ПП 2'!F259</f>
        <v>350</v>
      </c>
      <c r="E96" s="36">
        <f>'ПОМ ПП 2'!G259</f>
        <v>343.41437000000002</v>
      </c>
      <c r="F96" s="36">
        <f>'ПОМ ПП 2'!H259</f>
        <v>0</v>
      </c>
      <c r="G96" s="36">
        <f>'ПОМ ПП 2'!I259</f>
        <v>0</v>
      </c>
      <c r="H96" s="36">
        <f>'ПОМ ПП 2'!J259</f>
        <v>0</v>
      </c>
    </row>
    <row r="97" spans="1:8" ht="16.5" thickBot="1" x14ac:dyDescent="0.3">
      <c r="A97" s="16"/>
      <c r="B97" s="13" t="s">
        <v>124</v>
      </c>
      <c r="C97" s="36">
        <f t="shared" si="4"/>
        <v>13174.87299</v>
      </c>
      <c r="D97" s="36">
        <f>'ПОМ ПП 2'!F260</f>
        <v>6650</v>
      </c>
      <c r="E97" s="36">
        <f>'ПОМ ПП 2'!G260</f>
        <v>6524.8729899999998</v>
      </c>
      <c r="F97" s="36">
        <f>'ПОМ ПП 2'!H260</f>
        <v>0</v>
      </c>
      <c r="G97" s="36">
        <f>'ПОМ ПП 2'!I260</f>
        <v>0</v>
      </c>
      <c r="H97" s="36">
        <f>'ПОМ ПП 2'!J260</f>
        <v>0</v>
      </c>
    </row>
    <row r="98" spans="1:8" ht="16.5" thickBot="1" x14ac:dyDescent="0.3">
      <c r="A98" s="16"/>
      <c r="B98" s="13" t="s">
        <v>130</v>
      </c>
      <c r="C98" s="36">
        <f t="shared" si="4"/>
        <v>0</v>
      </c>
      <c r="D98" s="36">
        <f>'ПОМ ПП 2'!F261</f>
        <v>0</v>
      </c>
      <c r="E98" s="36">
        <f>'ПОМ ПП 2'!G261</f>
        <v>0</v>
      </c>
      <c r="F98" s="36">
        <f>'ПОМ ПП 2'!H261</f>
        <v>0</v>
      </c>
      <c r="G98" s="36">
        <f>'ПОМ ПП 2'!I261</f>
        <v>0</v>
      </c>
      <c r="H98" s="36">
        <f>'ПОМ ПП 2'!J261</f>
        <v>0</v>
      </c>
    </row>
    <row r="99" spans="1:8" ht="16.5" thickBot="1" x14ac:dyDescent="0.3">
      <c r="A99" s="16"/>
      <c r="B99" s="13" t="s">
        <v>131</v>
      </c>
      <c r="C99" s="30">
        <f t="shared" si="4"/>
        <v>0</v>
      </c>
      <c r="D99" s="36">
        <f>'ПОМ ПП 2'!F262</f>
        <v>0</v>
      </c>
      <c r="E99" s="36">
        <f>'ПОМ ПП 2'!G262</f>
        <v>0</v>
      </c>
      <c r="F99" s="36">
        <f>'ПОМ ПП 2'!H262</f>
        <v>0</v>
      </c>
      <c r="G99" s="36">
        <f>'ПОМ ПП 2'!I262</f>
        <v>0</v>
      </c>
      <c r="H99" s="36">
        <f>'ПОМ ПП 2'!J262</f>
        <v>0</v>
      </c>
    </row>
    <row r="100" spans="1:8" ht="16.5" thickBot="1" x14ac:dyDescent="0.3">
      <c r="A100" s="16"/>
      <c r="B100" s="13" t="s">
        <v>134</v>
      </c>
      <c r="C100" s="30">
        <f t="shared" si="4"/>
        <v>7000</v>
      </c>
      <c r="D100" s="37">
        <f>D95</f>
        <v>7000</v>
      </c>
      <c r="E100" s="38">
        <f>'[1]ПОМ ПП 2'!G88</f>
        <v>0</v>
      </c>
      <c r="F100" s="38">
        <f>'[1]ПОМ ПП 2'!H88</f>
        <v>0</v>
      </c>
      <c r="G100" s="38">
        <f>'[1]ПОМ ПП 2'!I88</f>
        <v>0</v>
      </c>
      <c r="H100" s="38">
        <f>'[1]ПОМ ПП 2'!J88</f>
        <v>0</v>
      </c>
    </row>
    <row r="101" spans="1:8" ht="7.9" customHeight="1" x14ac:dyDescent="0.25"/>
    <row r="102" spans="1:8" s="6" customFormat="1" ht="11.25" x14ac:dyDescent="0.2">
      <c r="A102" s="243" t="s">
        <v>138</v>
      </c>
      <c r="B102" s="243"/>
      <c r="C102" s="243"/>
      <c r="D102" s="243"/>
      <c r="E102" s="243"/>
      <c r="F102" s="243"/>
      <c r="G102" s="243"/>
      <c r="H102" s="243"/>
    </row>
    <row r="103" spans="1:8" s="6" customFormat="1" ht="11.25" x14ac:dyDescent="0.2">
      <c r="A103" s="243" t="s">
        <v>139</v>
      </c>
      <c r="B103" s="243"/>
      <c r="C103" s="243"/>
      <c r="D103" s="243"/>
      <c r="E103" s="243"/>
      <c r="F103" s="243"/>
      <c r="G103" s="243"/>
      <c r="H103" s="243"/>
    </row>
    <row r="104" spans="1:8" s="6" customFormat="1" ht="11.25" x14ac:dyDescent="0.2">
      <c r="A104" s="243" t="s">
        <v>140</v>
      </c>
      <c r="B104" s="243"/>
      <c r="C104" s="243"/>
      <c r="D104" s="243"/>
      <c r="E104" s="243"/>
      <c r="F104" s="243"/>
      <c r="G104" s="243"/>
      <c r="H104" s="243"/>
    </row>
    <row r="108" spans="1:8" x14ac:dyDescent="0.25">
      <c r="E108" s="118"/>
      <c r="F108" s="118"/>
    </row>
    <row r="110" spans="1:8" x14ac:dyDescent="0.25">
      <c r="E110" s="118"/>
      <c r="F110" s="118"/>
      <c r="G110" s="118"/>
    </row>
  </sheetData>
  <mergeCells count="13">
    <mergeCell ref="A102:H102"/>
    <mergeCell ref="A103:H103"/>
    <mergeCell ref="A104:H104"/>
    <mergeCell ref="A9:B9"/>
    <mergeCell ref="A10:B10"/>
    <mergeCell ref="D1:H1"/>
    <mergeCell ref="A2:H2"/>
    <mergeCell ref="A4:H4"/>
    <mergeCell ref="A6:B8"/>
    <mergeCell ref="D6:H6"/>
    <mergeCell ref="D7:H7"/>
    <mergeCell ref="A3:H3"/>
    <mergeCell ref="A5:H5"/>
  </mergeCells>
  <hyperlinks>
    <hyperlink ref="A5" location="_ftn1" display="_ftn1"/>
    <hyperlink ref="B16" location="_ftn2" display="_ftn2"/>
    <hyperlink ref="B22" location="_ftn3" display="_ftn3"/>
    <hyperlink ref="A102" location="_ftnref1" display="_ftnref1"/>
    <hyperlink ref="A103" location="_ftnref2" display="_ftnref2"/>
    <hyperlink ref="A104" location="_ftnref3" display="_ftnref3"/>
  </hyperlinks>
  <pageMargins left="0.70866141732283472" right="0.70866141732283472" top="0.74803149606299213" bottom="0.74803149606299213" header="0.31496062992125984" footer="0.31496062992125984"/>
  <pageSetup paperSize="9" scale="72" firstPageNumber="26" fitToHeight="0" orientation="portrait" useFirstPageNumber="1" r:id="rId1"/>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0"/>
  <sheetViews>
    <sheetView view="pageBreakPreview" zoomScaleNormal="100" zoomScaleSheetLayoutView="100" zoomScalePageLayoutView="85" workbookViewId="0">
      <selection activeCell="L16" sqref="L16:L21"/>
    </sheetView>
  </sheetViews>
  <sheetFormatPr defaultColWidth="9.140625" defaultRowHeight="15" x14ac:dyDescent="0.25"/>
  <cols>
    <col min="1" max="1" width="4.140625" style="29" customWidth="1"/>
    <col min="2" max="2" width="27.42578125" style="29" customWidth="1"/>
    <col min="3" max="3" width="10.5703125" style="29" customWidth="1"/>
    <col min="4" max="4" width="13" style="29" customWidth="1"/>
    <col min="5" max="10" width="8.85546875" style="29" customWidth="1"/>
    <col min="11" max="11" width="19" style="29" customWidth="1"/>
    <col min="12" max="16" width="8.85546875" style="29" customWidth="1"/>
    <col min="17" max="17" width="29.42578125" style="62" customWidth="1"/>
    <col min="18" max="16384" width="9.140625" style="29"/>
  </cols>
  <sheetData>
    <row r="1" spans="1:19" x14ac:dyDescent="0.25">
      <c r="A1" s="28"/>
      <c r="B1" s="28"/>
      <c r="C1" s="28"/>
      <c r="D1" s="28"/>
      <c r="E1" s="28"/>
      <c r="F1" s="28"/>
      <c r="G1" s="28"/>
      <c r="H1" s="28"/>
      <c r="I1" s="28"/>
      <c r="J1" s="28"/>
      <c r="K1" s="28"/>
      <c r="L1" s="28"/>
      <c r="M1" s="28"/>
      <c r="N1" s="28"/>
      <c r="O1" s="192" t="s">
        <v>110</v>
      </c>
      <c r="P1" s="192"/>
      <c r="Q1" s="192"/>
      <c r="R1" s="28"/>
    </row>
    <row r="2" spans="1:19" x14ac:dyDescent="0.25">
      <c r="A2" s="28"/>
      <c r="B2" s="28"/>
      <c r="C2" s="28"/>
      <c r="D2" s="28"/>
      <c r="E2" s="28"/>
      <c r="F2" s="28"/>
      <c r="G2" s="28"/>
      <c r="H2" s="28"/>
      <c r="I2" s="28"/>
      <c r="J2" s="200" t="s">
        <v>390</v>
      </c>
      <c r="K2" s="201"/>
      <c r="L2" s="201"/>
      <c r="M2" s="201"/>
      <c r="N2" s="201"/>
      <c r="O2" s="201"/>
      <c r="P2" s="201"/>
      <c r="Q2" s="201"/>
      <c r="R2" s="28"/>
    </row>
    <row r="3" spans="1:19" x14ac:dyDescent="0.25">
      <c r="A3" s="193" t="s">
        <v>348</v>
      </c>
      <c r="B3" s="193"/>
      <c r="C3" s="193"/>
      <c r="D3" s="193"/>
      <c r="E3" s="193"/>
      <c r="F3" s="193"/>
      <c r="G3" s="193"/>
      <c r="H3" s="193"/>
      <c r="I3" s="193"/>
      <c r="J3" s="193"/>
      <c r="K3" s="193"/>
      <c r="L3" s="193"/>
      <c r="M3" s="193"/>
      <c r="N3" s="193"/>
      <c r="O3" s="193"/>
      <c r="P3" s="193"/>
      <c r="Q3" s="193"/>
      <c r="R3" s="28"/>
    </row>
    <row r="4" spans="1:19" ht="14.45" x14ac:dyDescent="0.3">
      <c r="A4" s="28"/>
      <c r="B4" s="28"/>
      <c r="C4" s="28"/>
      <c r="D4" s="28"/>
      <c r="E4" s="28"/>
      <c r="F4" s="28"/>
      <c r="G4" s="28"/>
      <c r="H4" s="28"/>
      <c r="I4" s="28"/>
      <c r="J4" s="28"/>
      <c r="K4" s="28"/>
      <c r="L4" s="28"/>
      <c r="M4" s="28"/>
      <c r="N4" s="28"/>
      <c r="O4" s="28"/>
      <c r="P4" s="28"/>
      <c r="Q4" s="59"/>
      <c r="R4" s="28"/>
    </row>
    <row r="5" spans="1:19" ht="27.75" customHeight="1" x14ac:dyDescent="0.25">
      <c r="A5" s="164" t="s">
        <v>0</v>
      </c>
      <c r="B5" s="164" t="s">
        <v>1</v>
      </c>
      <c r="C5" s="164" t="s">
        <v>2</v>
      </c>
      <c r="D5" s="164" t="s">
        <v>143</v>
      </c>
      <c r="E5" s="165" t="s">
        <v>3</v>
      </c>
      <c r="F5" s="165"/>
      <c r="G5" s="165"/>
      <c r="H5" s="165"/>
      <c r="I5" s="165"/>
      <c r="J5" s="165"/>
      <c r="K5" s="164" t="s">
        <v>5</v>
      </c>
      <c r="L5" s="164"/>
      <c r="M5" s="164"/>
      <c r="N5" s="164"/>
      <c r="O5" s="164"/>
      <c r="P5" s="164"/>
      <c r="Q5" s="164" t="s">
        <v>144</v>
      </c>
      <c r="R5" s="28"/>
    </row>
    <row r="6" spans="1:19" ht="25.5" x14ac:dyDescent="0.25">
      <c r="A6" s="164"/>
      <c r="B6" s="164"/>
      <c r="C6" s="164"/>
      <c r="D6" s="164"/>
      <c r="E6" s="122" t="s">
        <v>4</v>
      </c>
      <c r="F6" s="122" t="s">
        <v>164</v>
      </c>
      <c r="G6" s="122" t="s">
        <v>165</v>
      </c>
      <c r="H6" s="122" t="s">
        <v>166</v>
      </c>
      <c r="I6" s="122" t="s">
        <v>167</v>
      </c>
      <c r="J6" s="122" t="s">
        <v>168</v>
      </c>
      <c r="K6" s="121" t="s">
        <v>6</v>
      </c>
      <c r="L6" s="122" t="s">
        <v>164</v>
      </c>
      <c r="M6" s="122" t="s">
        <v>165</v>
      </c>
      <c r="N6" s="122" t="s">
        <v>166</v>
      </c>
      <c r="O6" s="122" t="s">
        <v>167</v>
      </c>
      <c r="P6" s="122" t="s">
        <v>168</v>
      </c>
      <c r="Q6" s="164"/>
      <c r="R6" s="52"/>
      <c r="S6" s="60"/>
    </row>
    <row r="7" spans="1:19" ht="14.45" x14ac:dyDescent="0.3">
      <c r="A7" s="126">
        <v>1</v>
      </c>
      <c r="B7" s="126">
        <v>2</v>
      </c>
      <c r="C7" s="126">
        <v>3</v>
      </c>
      <c r="D7" s="126">
        <v>4</v>
      </c>
      <c r="E7" s="126">
        <v>5</v>
      </c>
      <c r="F7" s="126">
        <v>6</v>
      </c>
      <c r="G7" s="126">
        <v>7</v>
      </c>
      <c r="H7" s="126">
        <v>8</v>
      </c>
      <c r="I7" s="126">
        <v>9</v>
      </c>
      <c r="J7" s="126">
        <v>10</v>
      </c>
      <c r="K7" s="126">
        <v>11</v>
      </c>
      <c r="L7" s="126">
        <v>12</v>
      </c>
      <c r="M7" s="126">
        <v>13</v>
      </c>
      <c r="N7" s="126">
        <v>14</v>
      </c>
      <c r="O7" s="126">
        <v>15</v>
      </c>
      <c r="P7" s="126">
        <v>16</v>
      </c>
      <c r="Q7" s="126">
        <v>17</v>
      </c>
      <c r="R7" s="28"/>
    </row>
    <row r="8" spans="1:19" x14ac:dyDescent="0.25">
      <c r="A8" s="126"/>
      <c r="B8" s="190" t="s">
        <v>349</v>
      </c>
      <c r="C8" s="190"/>
      <c r="D8" s="190"/>
      <c r="E8" s="190"/>
      <c r="F8" s="190"/>
      <c r="G8" s="190"/>
      <c r="H8" s="190"/>
      <c r="I8" s="190"/>
      <c r="J8" s="190"/>
      <c r="K8" s="190"/>
      <c r="L8" s="190"/>
      <c r="M8" s="190"/>
      <c r="N8" s="190"/>
      <c r="O8" s="190"/>
      <c r="P8" s="190"/>
      <c r="Q8" s="190"/>
      <c r="R8" s="28"/>
    </row>
    <row r="9" spans="1:19" x14ac:dyDescent="0.25">
      <c r="A9" s="126" t="s">
        <v>7</v>
      </c>
      <c r="B9" s="190" t="s">
        <v>350</v>
      </c>
      <c r="C9" s="190"/>
      <c r="D9" s="190"/>
      <c r="E9" s="190"/>
      <c r="F9" s="190"/>
      <c r="G9" s="190"/>
      <c r="H9" s="190"/>
      <c r="I9" s="190"/>
      <c r="J9" s="190"/>
      <c r="K9" s="190"/>
      <c r="L9" s="190"/>
      <c r="M9" s="190"/>
      <c r="N9" s="190"/>
      <c r="O9" s="190"/>
      <c r="P9" s="190"/>
      <c r="Q9" s="190"/>
      <c r="R9" s="28"/>
    </row>
    <row r="10" spans="1:19" ht="48" customHeight="1" x14ac:dyDescent="0.25">
      <c r="A10" s="166" t="s">
        <v>8</v>
      </c>
      <c r="B10" s="158" t="s">
        <v>351</v>
      </c>
      <c r="C10" s="158" t="s">
        <v>173</v>
      </c>
      <c r="D10" s="136" t="s">
        <v>9</v>
      </c>
      <c r="E10" s="137">
        <f>SUM(E11:E15)</f>
        <v>640</v>
      </c>
      <c r="F10" s="137">
        <f t="shared" ref="F10:J10" si="0">SUM(F11:F15)</f>
        <v>128</v>
      </c>
      <c r="G10" s="137">
        <f t="shared" si="0"/>
        <v>128</v>
      </c>
      <c r="H10" s="137">
        <f t="shared" si="0"/>
        <v>128</v>
      </c>
      <c r="I10" s="137">
        <f t="shared" si="0"/>
        <v>128</v>
      </c>
      <c r="J10" s="137">
        <f t="shared" si="0"/>
        <v>128</v>
      </c>
      <c r="K10" s="246" t="s">
        <v>352</v>
      </c>
      <c r="L10" s="169">
        <v>100</v>
      </c>
      <c r="M10" s="169">
        <v>100</v>
      </c>
      <c r="N10" s="169">
        <v>100</v>
      </c>
      <c r="O10" s="169">
        <v>100</v>
      </c>
      <c r="P10" s="169">
        <v>100</v>
      </c>
      <c r="Q10" s="161" t="s">
        <v>353</v>
      </c>
      <c r="R10" s="28"/>
    </row>
    <row r="11" spans="1:19" ht="25.5" customHeight="1" x14ac:dyDescent="0.25">
      <c r="A11" s="167"/>
      <c r="B11" s="159"/>
      <c r="C11" s="159"/>
      <c r="D11" s="249" t="s">
        <v>10</v>
      </c>
      <c r="E11" s="250"/>
      <c r="F11" s="250"/>
      <c r="G11" s="250"/>
      <c r="H11" s="250"/>
      <c r="I11" s="250"/>
      <c r="J11" s="251"/>
      <c r="K11" s="247"/>
      <c r="L11" s="170"/>
      <c r="M11" s="170"/>
      <c r="N11" s="170"/>
      <c r="O11" s="170"/>
      <c r="P11" s="170"/>
      <c r="Q11" s="162"/>
      <c r="R11" s="28"/>
    </row>
    <row r="12" spans="1:19" ht="25.5" customHeight="1" x14ac:dyDescent="0.25">
      <c r="A12" s="167"/>
      <c r="B12" s="159"/>
      <c r="C12" s="159"/>
      <c r="D12" s="136" t="s">
        <v>11</v>
      </c>
      <c r="E12" s="137">
        <f>SUM(F12:J12)</f>
        <v>640</v>
      </c>
      <c r="F12" s="137">
        <v>128</v>
      </c>
      <c r="G12" s="137">
        <v>128</v>
      </c>
      <c r="H12" s="137">
        <v>128</v>
      </c>
      <c r="I12" s="137">
        <v>128</v>
      </c>
      <c r="J12" s="137">
        <v>128</v>
      </c>
      <c r="K12" s="247"/>
      <c r="L12" s="170"/>
      <c r="M12" s="170"/>
      <c r="N12" s="170"/>
      <c r="O12" s="170"/>
      <c r="P12" s="170"/>
      <c r="Q12" s="162"/>
      <c r="R12" s="28"/>
    </row>
    <row r="13" spans="1:19" ht="25.5" customHeight="1" x14ac:dyDescent="0.25">
      <c r="A13" s="167"/>
      <c r="B13" s="159"/>
      <c r="C13" s="159"/>
      <c r="D13" s="136" t="s">
        <v>12</v>
      </c>
      <c r="E13" s="137">
        <f t="shared" ref="E13:E15" si="1">SUM(F13:J13)</f>
        <v>0</v>
      </c>
      <c r="F13" s="137">
        <v>0</v>
      </c>
      <c r="G13" s="137">
        <v>0</v>
      </c>
      <c r="H13" s="137">
        <v>0</v>
      </c>
      <c r="I13" s="137">
        <v>0</v>
      </c>
      <c r="J13" s="137">
        <v>0</v>
      </c>
      <c r="K13" s="247"/>
      <c r="L13" s="170"/>
      <c r="M13" s="170"/>
      <c r="N13" s="170"/>
      <c r="O13" s="170"/>
      <c r="P13" s="170"/>
      <c r="Q13" s="162"/>
      <c r="R13" s="28"/>
    </row>
    <row r="14" spans="1:19" ht="25.5" customHeight="1" x14ac:dyDescent="0.25">
      <c r="A14" s="167"/>
      <c r="B14" s="159"/>
      <c r="C14" s="159"/>
      <c r="D14" s="136" t="s">
        <v>13</v>
      </c>
      <c r="E14" s="137">
        <f t="shared" si="1"/>
        <v>0</v>
      </c>
      <c r="F14" s="137">
        <v>0</v>
      </c>
      <c r="G14" s="137">
        <v>0</v>
      </c>
      <c r="H14" s="137">
        <v>0</v>
      </c>
      <c r="I14" s="137">
        <v>0</v>
      </c>
      <c r="J14" s="137">
        <v>0</v>
      </c>
      <c r="K14" s="247"/>
      <c r="L14" s="170"/>
      <c r="M14" s="170"/>
      <c r="N14" s="170"/>
      <c r="O14" s="170"/>
      <c r="P14" s="170"/>
      <c r="Q14" s="162"/>
      <c r="R14" s="28"/>
    </row>
    <row r="15" spans="1:19" ht="25.5" customHeight="1" x14ac:dyDescent="0.25">
      <c r="A15" s="168"/>
      <c r="B15" s="160"/>
      <c r="C15" s="160"/>
      <c r="D15" s="136" t="s">
        <v>14</v>
      </c>
      <c r="E15" s="137">
        <f t="shared" si="1"/>
        <v>0</v>
      </c>
      <c r="F15" s="137">
        <v>0</v>
      </c>
      <c r="G15" s="137">
        <v>0</v>
      </c>
      <c r="H15" s="137">
        <v>0</v>
      </c>
      <c r="I15" s="137">
        <v>0</v>
      </c>
      <c r="J15" s="137">
        <v>0</v>
      </c>
      <c r="K15" s="248"/>
      <c r="L15" s="171"/>
      <c r="M15" s="171"/>
      <c r="N15" s="171"/>
      <c r="O15" s="171"/>
      <c r="P15" s="171"/>
      <c r="Q15" s="163"/>
      <c r="R15" s="28"/>
    </row>
    <row r="16" spans="1:19" x14ac:dyDescent="0.25">
      <c r="A16" s="166" t="s">
        <v>15</v>
      </c>
      <c r="B16" s="158" t="s">
        <v>354</v>
      </c>
      <c r="C16" s="158" t="s">
        <v>173</v>
      </c>
      <c r="D16" s="136" t="s">
        <v>9</v>
      </c>
      <c r="E16" s="137">
        <f>SUM(E17:E21)</f>
        <v>654</v>
      </c>
      <c r="F16" s="137">
        <f t="shared" ref="F16:J16" si="2">SUM(F17:F21)</f>
        <v>107</v>
      </c>
      <c r="G16" s="137">
        <f t="shared" si="2"/>
        <v>147.5</v>
      </c>
      <c r="H16" s="137">
        <f t="shared" si="2"/>
        <v>147.5</v>
      </c>
      <c r="I16" s="137">
        <f t="shared" si="2"/>
        <v>147.5</v>
      </c>
      <c r="J16" s="137">
        <f t="shared" si="2"/>
        <v>104.5</v>
      </c>
      <c r="K16" s="246" t="s">
        <v>352</v>
      </c>
      <c r="L16" s="169">
        <v>100</v>
      </c>
      <c r="M16" s="169">
        <v>100</v>
      </c>
      <c r="N16" s="169">
        <v>100</v>
      </c>
      <c r="O16" s="169">
        <v>100</v>
      </c>
      <c r="P16" s="169">
        <v>100</v>
      </c>
      <c r="Q16" s="179" t="s">
        <v>83</v>
      </c>
      <c r="R16" s="28"/>
    </row>
    <row r="17" spans="1:18" x14ac:dyDescent="0.25">
      <c r="A17" s="167"/>
      <c r="B17" s="159"/>
      <c r="C17" s="159"/>
      <c r="D17" s="249" t="s">
        <v>10</v>
      </c>
      <c r="E17" s="250"/>
      <c r="F17" s="250"/>
      <c r="G17" s="250"/>
      <c r="H17" s="250"/>
      <c r="I17" s="250"/>
      <c r="J17" s="251"/>
      <c r="K17" s="247"/>
      <c r="L17" s="170"/>
      <c r="M17" s="170"/>
      <c r="N17" s="170"/>
      <c r="O17" s="170"/>
      <c r="P17" s="170"/>
      <c r="Q17" s="180"/>
      <c r="R17" s="28"/>
    </row>
    <row r="18" spans="1:18" x14ac:dyDescent="0.25">
      <c r="A18" s="167"/>
      <c r="B18" s="159"/>
      <c r="C18" s="159"/>
      <c r="D18" s="136" t="s">
        <v>11</v>
      </c>
      <c r="E18" s="137">
        <f>SUM(F18:J18)</f>
        <v>654</v>
      </c>
      <c r="F18" s="46">
        <f>487-F62</f>
        <v>107</v>
      </c>
      <c r="G18" s="46">
        <f>553.5-G62</f>
        <v>147.5</v>
      </c>
      <c r="H18" s="46">
        <f t="shared" ref="H18:I18" si="3">553.5-H62</f>
        <v>147.5</v>
      </c>
      <c r="I18" s="46">
        <f t="shared" si="3"/>
        <v>147.5</v>
      </c>
      <c r="J18" s="46">
        <f t="shared" ref="J18" si="4">474.5-370</f>
        <v>104.5</v>
      </c>
      <c r="K18" s="247"/>
      <c r="L18" s="170"/>
      <c r="M18" s="170"/>
      <c r="N18" s="170"/>
      <c r="O18" s="170"/>
      <c r="P18" s="170"/>
      <c r="Q18" s="180"/>
      <c r="R18" s="28"/>
    </row>
    <row r="19" spans="1:18" x14ac:dyDescent="0.25">
      <c r="A19" s="167"/>
      <c r="B19" s="159"/>
      <c r="C19" s="159"/>
      <c r="D19" s="136" t="s">
        <v>12</v>
      </c>
      <c r="E19" s="137">
        <f t="shared" ref="E19:E21" si="5">SUM(F19:J19)</f>
        <v>0</v>
      </c>
      <c r="F19" s="46">
        <v>0</v>
      </c>
      <c r="G19" s="46">
        <v>0</v>
      </c>
      <c r="H19" s="46">
        <v>0</v>
      </c>
      <c r="I19" s="46">
        <v>0</v>
      </c>
      <c r="J19" s="46">
        <v>0</v>
      </c>
      <c r="K19" s="247"/>
      <c r="L19" s="170"/>
      <c r="M19" s="170"/>
      <c r="N19" s="170"/>
      <c r="O19" s="170"/>
      <c r="P19" s="170"/>
      <c r="Q19" s="180"/>
      <c r="R19" s="28"/>
    </row>
    <row r="20" spans="1:18" x14ac:dyDescent="0.25">
      <c r="A20" s="167"/>
      <c r="B20" s="159"/>
      <c r="C20" s="159"/>
      <c r="D20" s="136" t="s">
        <v>13</v>
      </c>
      <c r="E20" s="137">
        <f t="shared" si="5"/>
        <v>0</v>
      </c>
      <c r="F20" s="46">
        <v>0</v>
      </c>
      <c r="G20" s="46">
        <v>0</v>
      </c>
      <c r="H20" s="46">
        <v>0</v>
      </c>
      <c r="I20" s="46">
        <v>0</v>
      </c>
      <c r="J20" s="46">
        <v>0</v>
      </c>
      <c r="K20" s="247"/>
      <c r="L20" s="170"/>
      <c r="M20" s="170"/>
      <c r="N20" s="170"/>
      <c r="O20" s="170"/>
      <c r="P20" s="170"/>
      <c r="Q20" s="180"/>
      <c r="R20" s="28"/>
    </row>
    <row r="21" spans="1:18" x14ac:dyDescent="0.25">
      <c r="A21" s="168"/>
      <c r="B21" s="160"/>
      <c r="C21" s="160"/>
      <c r="D21" s="136" t="s">
        <v>14</v>
      </c>
      <c r="E21" s="137">
        <f t="shared" si="5"/>
        <v>0</v>
      </c>
      <c r="F21" s="46">
        <v>0</v>
      </c>
      <c r="G21" s="46">
        <v>0</v>
      </c>
      <c r="H21" s="46">
        <v>0</v>
      </c>
      <c r="I21" s="46">
        <v>0</v>
      </c>
      <c r="J21" s="46">
        <v>0</v>
      </c>
      <c r="K21" s="248"/>
      <c r="L21" s="171"/>
      <c r="M21" s="171"/>
      <c r="N21" s="171"/>
      <c r="O21" s="171"/>
      <c r="P21" s="171"/>
      <c r="Q21" s="181"/>
      <c r="R21" s="28"/>
    </row>
    <row r="22" spans="1:18" ht="15" customHeight="1" x14ac:dyDescent="0.25">
      <c r="A22" s="166" t="s">
        <v>216</v>
      </c>
      <c r="B22" s="158" t="s">
        <v>355</v>
      </c>
      <c r="C22" s="158" t="s">
        <v>173</v>
      </c>
      <c r="D22" s="54" t="s">
        <v>9</v>
      </c>
      <c r="E22" s="46">
        <f>SUM(E23:E27)</f>
        <v>775</v>
      </c>
      <c r="F22" s="46">
        <f t="shared" ref="F22:J22" si="6">SUM(F23:F27)</f>
        <v>117.5</v>
      </c>
      <c r="G22" s="46">
        <f t="shared" si="6"/>
        <v>180</v>
      </c>
      <c r="H22" s="46">
        <f t="shared" si="6"/>
        <v>180</v>
      </c>
      <c r="I22" s="46">
        <f t="shared" si="6"/>
        <v>180</v>
      </c>
      <c r="J22" s="46">
        <f t="shared" si="6"/>
        <v>117.5</v>
      </c>
      <c r="K22" s="246"/>
      <c r="L22" s="207"/>
      <c r="M22" s="207"/>
      <c r="N22" s="207"/>
      <c r="O22" s="207"/>
      <c r="P22" s="207"/>
      <c r="Q22" s="179" t="s">
        <v>83</v>
      </c>
      <c r="R22" s="28"/>
    </row>
    <row r="23" spans="1:18" x14ac:dyDescent="0.25">
      <c r="A23" s="167"/>
      <c r="B23" s="159"/>
      <c r="C23" s="159"/>
      <c r="D23" s="155" t="s">
        <v>10</v>
      </c>
      <c r="E23" s="156"/>
      <c r="F23" s="156"/>
      <c r="G23" s="156"/>
      <c r="H23" s="156"/>
      <c r="I23" s="156"/>
      <c r="J23" s="157"/>
      <c r="K23" s="247"/>
      <c r="L23" s="208"/>
      <c r="M23" s="208"/>
      <c r="N23" s="208"/>
      <c r="O23" s="208"/>
      <c r="P23" s="208"/>
      <c r="Q23" s="180"/>
      <c r="R23" s="28"/>
    </row>
    <row r="24" spans="1:18" x14ac:dyDescent="0.25">
      <c r="A24" s="167"/>
      <c r="B24" s="159"/>
      <c r="C24" s="159"/>
      <c r="D24" s="54" t="s">
        <v>11</v>
      </c>
      <c r="E24" s="46">
        <f>SUM(F24:J24)</f>
        <v>775</v>
      </c>
      <c r="F24" s="46">
        <v>117.5</v>
      </c>
      <c r="G24" s="46">
        <v>180</v>
      </c>
      <c r="H24" s="46">
        <v>180</v>
      </c>
      <c r="I24" s="46">
        <v>180</v>
      </c>
      <c r="J24" s="46">
        <v>117.5</v>
      </c>
      <c r="K24" s="247"/>
      <c r="L24" s="208"/>
      <c r="M24" s="208"/>
      <c r="N24" s="208"/>
      <c r="O24" s="208"/>
      <c r="P24" s="208"/>
      <c r="Q24" s="180"/>
      <c r="R24" s="28"/>
    </row>
    <row r="25" spans="1:18" x14ac:dyDescent="0.25">
      <c r="A25" s="167"/>
      <c r="B25" s="159"/>
      <c r="C25" s="159"/>
      <c r="D25" s="54" t="s">
        <v>12</v>
      </c>
      <c r="E25" s="46">
        <f t="shared" ref="E25:E27" si="7">SUM(F25:J25)</f>
        <v>0</v>
      </c>
      <c r="F25" s="46">
        <v>0</v>
      </c>
      <c r="G25" s="46">
        <v>0</v>
      </c>
      <c r="H25" s="46">
        <v>0</v>
      </c>
      <c r="I25" s="46">
        <v>0</v>
      </c>
      <c r="J25" s="46">
        <v>0</v>
      </c>
      <c r="K25" s="247"/>
      <c r="L25" s="208"/>
      <c r="M25" s="208"/>
      <c r="N25" s="208"/>
      <c r="O25" s="208"/>
      <c r="P25" s="208"/>
      <c r="Q25" s="180"/>
      <c r="R25" s="28"/>
    </row>
    <row r="26" spans="1:18" x14ac:dyDescent="0.25">
      <c r="A26" s="167"/>
      <c r="B26" s="159"/>
      <c r="C26" s="159"/>
      <c r="D26" s="54" t="s">
        <v>13</v>
      </c>
      <c r="E26" s="46">
        <f t="shared" si="7"/>
        <v>0</v>
      </c>
      <c r="F26" s="46">
        <v>0</v>
      </c>
      <c r="G26" s="46">
        <v>0</v>
      </c>
      <c r="H26" s="46">
        <v>0</v>
      </c>
      <c r="I26" s="46">
        <v>0</v>
      </c>
      <c r="J26" s="46">
        <v>0</v>
      </c>
      <c r="K26" s="247"/>
      <c r="L26" s="208"/>
      <c r="M26" s="208"/>
      <c r="N26" s="208"/>
      <c r="O26" s="208"/>
      <c r="P26" s="208"/>
      <c r="Q26" s="180"/>
      <c r="R26" s="28"/>
    </row>
    <row r="27" spans="1:18" x14ac:dyDescent="0.25">
      <c r="A27" s="168"/>
      <c r="B27" s="160"/>
      <c r="C27" s="160"/>
      <c r="D27" s="54" t="s">
        <v>14</v>
      </c>
      <c r="E27" s="46">
        <f t="shared" si="7"/>
        <v>0</v>
      </c>
      <c r="F27" s="46">
        <v>0</v>
      </c>
      <c r="G27" s="46">
        <v>0</v>
      </c>
      <c r="H27" s="46">
        <v>0</v>
      </c>
      <c r="I27" s="46">
        <v>0</v>
      </c>
      <c r="J27" s="46">
        <v>0</v>
      </c>
      <c r="K27" s="248"/>
      <c r="L27" s="209"/>
      <c r="M27" s="209"/>
      <c r="N27" s="209"/>
      <c r="O27" s="209"/>
      <c r="P27" s="209"/>
      <c r="Q27" s="181"/>
      <c r="R27" s="28"/>
    </row>
    <row r="28" spans="1:18" x14ac:dyDescent="0.25">
      <c r="A28" s="207"/>
      <c r="B28" s="166" t="s">
        <v>16</v>
      </c>
      <c r="C28" s="207"/>
      <c r="D28" s="54" t="s">
        <v>9</v>
      </c>
      <c r="E28" s="46">
        <f t="shared" ref="E28:J28" si="8">SUM(E29:E33)</f>
        <v>2069</v>
      </c>
      <c r="F28" s="46">
        <f t="shared" si="8"/>
        <v>352.5</v>
      </c>
      <c r="G28" s="46">
        <f t="shared" si="8"/>
        <v>455.5</v>
      </c>
      <c r="H28" s="46">
        <f t="shared" si="8"/>
        <v>455.5</v>
      </c>
      <c r="I28" s="46">
        <f t="shared" si="8"/>
        <v>455.5</v>
      </c>
      <c r="J28" s="46">
        <f t="shared" si="8"/>
        <v>350</v>
      </c>
      <c r="K28" s="207"/>
      <c r="L28" s="207"/>
      <c r="M28" s="207"/>
      <c r="N28" s="207"/>
      <c r="O28" s="207"/>
      <c r="P28" s="207"/>
      <c r="Q28" s="161"/>
      <c r="R28" s="28"/>
    </row>
    <row r="29" spans="1:18" x14ac:dyDescent="0.25">
      <c r="A29" s="208"/>
      <c r="B29" s="167"/>
      <c r="C29" s="208"/>
      <c r="D29" s="155" t="s">
        <v>10</v>
      </c>
      <c r="E29" s="156"/>
      <c r="F29" s="156"/>
      <c r="G29" s="156"/>
      <c r="H29" s="156"/>
      <c r="I29" s="156"/>
      <c r="J29" s="157"/>
      <c r="K29" s="208"/>
      <c r="L29" s="208"/>
      <c r="M29" s="208"/>
      <c r="N29" s="208"/>
      <c r="O29" s="208"/>
      <c r="P29" s="208"/>
      <c r="Q29" s="162"/>
      <c r="R29" s="28"/>
    </row>
    <row r="30" spans="1:18" x14ac:dyDescent="0.25">
      <c r="A30" s="208"/>
      <c r="B30" s="167"/>
      <c r="C30" s="208"/>
      <c r="D30" s="54" t="s">
        <v>11</v>
      </c>
      <c r="E30" s="46">
        <f>SUM(F30:J30)</f>
        <v>2069</v>
      </c>
      <c r="F30" s="46">
        <f>F12+F18+F24</f>
        <v>352.5</v>
      </c>
      <c r="G30" s="46">
        <f t="shared" ref="G30:J30" si="9">G12+G18+G24</f>
        <v>455.5</v>
      </c>
      <c r="H30" s="46">
        <f t="shared" si="9"/>
        <v>455.5</v>
      </c>
      <c r="I30" s="46">
        <f t="shared" si="9"/>
        <v>455.5</v>
      </c>
      <c r="J30" s="46">
        <f t="shared" si="9"/>
        <v>350</v>
      </c>
      <c r="K30" s="208"/>
      <c r="L30" s="208"/>
      <c r="M30" s="208"/>
      <c r="N30" s="208"/>
      <c r="O30" s="208"/>
      <c r="P30" s="208"/>
      <c r="Q30" s="162"/>
      <c r="R30" s="28"/>
    </row>
    <row r="31" spans="1:18" x14ac:dyDescent="0.25">
      <c r="A31" s="208"/>
      <c r="B31" s="167"/>
      <c r="C31" s="208"/>
      <c r="D31" s="54" t="s">
        <v>12</v>
      </c>
      <c r="E31" s="46">
        <f t="shared" ref="E31:E33" si="10">SUM(F31:J31)</f>
        <v>0</v>
      </c>
      <c r="F31" s="46">
        <f t="shared" ref="F31:J33" si="11">F13+F19+F25</f>
        <v>0</v>
      </c>
      <c r="G31" s="46">
        <f t="shared" si="11"/>
        <v>0</v>
      </c>
      <c r="H31" s="46">
        <f t="shared" si="11"/>
        <v>0</v>
      </c>
      <c r="I31" s="46">
        <f t="shared" si="11"/>
        <v>0</v>
      </c>
      <c r="J31" s="46">
        <f t="shared" si="11"/>
        <v>0</v>
      </c>
      <c r="K31" s="208"/>
      <c r="L31" s="208"/>
      <c r="M31" s="208"/>
      <c r="N31" s="208"/>
      <c r="O31" s="208"/>
      <c r="P31" s="208"/>
      <c r="Q31" s="162"/>
      <c r="R31" s="28"/>
    </row>
    <row r="32" spans="1:18" x14ac:dyDescent="0.25">
      <c r="A32" s="208"/>
      <c r="B32" s="167"/>
      <c r="C32" s="208"/>
      <c r="D32" s="54" t="s">
        <v>13</v>
      </c>
      <c r="E32" s="46">
        <f t="shared" si="10"/>
        <v>0</v>
      </c>
      <c r="F32" s="46">
        <f t="shared" si="11"/>
        <v>0</v>
      </c>
      <c r="G32" s="46">
        <f t="shared" si="11"/>
        <v>0</v>
      </c>
      <c r="H32" s="46">
        <f t="shared" si="11"/>
        <v>0</v>
      </c>
      <c r="I32" s="46">
        <f t="shared" si="11"/>
        <v>0</v>
      </c>
      <c r="J32" s="46">
        <f t="shared" si="11"/>
        <v>0</v>
      </c>
      <c r="K32" s="208"/>
      <c r="L32" s="208"/>
      <c r="M32" s="208"/>
      <c r="N32" s="208"/>
      <c r="O32" s="208"/>
      <c r="P32" s="208"/>
      <c r="Q32" s="162"/>
      <c r="R32" s="28"/>
    </row>
    <row r="33" spans="1:18" x14ac:dyDescent="0.25">
      <c r="A33" s="209"/>
      <c r="B33" s="168"/>
      <c r="C33" s="209"/>
      <c r="D33" s="54" t="s">
        <v>14</v>
      </c>
      <c r="E33" s="46">
        <f t="shared" si="10"/>
        <v>0</v>
      </c>
      <c r="F33" s="46">
        <f t="shared" si="11"/>
        <v>0</v>
      </c>
      <c r="G33" s="46">
        <f t="shared" si="11"/>
        <v>0</v>
      </c>
      <c r="H33" s="46">
        <f t="shared" si="11"/>
        <v>0</v>
      </c>
      <c r="I33" s="46">
        <f t="shared" si="11"/>
        <v>0</v>
      </c>
      <c r="J33" s="46">
        <f t="shared" si="11"/>
        <v>0</v>
      </c>
      <c r="K33" s="209"/>
      <c r="L33" s="209"/>
      <c r="M33" s="209"/>
      <c r="N33" s="209"/>
      <c r="O33" s="209"/>
      <c r="P33" s="209"/>
      <c r="Q33" s="163"/>
      <c r="R33" s="28"/>
    </row>
    <row r="34" spans="1:18" x14ac:dyDescent="0.25">
      <c r="A34" s="119" t="s">
        <v>20</v>
      </c>
      <c r="B34" s="234" t="s">
        <v>356</v>
      </c>
      <c r="C34" s="235"/>
      <c r="D34" s="235"/>
      <c r="E34" s="235"/>
      <c r="F34" s="235"/>
      <c r="G34" s="235"/>
      <c r="H34" s="235"/>
      <c r="I34" s="235"/>
      <c r="J34" s="235"/>
      <c r="K34" s="235"/>
      <c r="L34" s="235"/>
      <c r="M34" s="235"/>
      <c r="N34" s="235"/>
      <c r="O34" s="235"/>
      <c r="P34" s="235"/>
      <c r="Q34" s="236"/>
      <c r="R34" s="28"/>
    </row>
    <row r="35" spans="1:18" ht="19.5" customHeight="1" x14ac:dyDescent="0.25">
      <c r="A35" s="166" t="s">
        <v>72</v>
      </c>
      <c r="B35" s="158" t="s">
        <v>357</v>
      </c>
      <c r="C35" s="158" t="s">
        <v>173</v>
      </c>
      <c r="D35" s="54" t="s">
        <v>9</v>
      </c>
      <c r="E35" s="46">
        <f>SUM(E36:E40)</f>
        <v>200</v>
      </c>
      <c r="F35" s="46">
        <f t="shared" ref="F35:J35" si="12">SUM(F36:F40)</f>
        <v>40</v>
      </c>
      <c r="G35" s="46">
        <f t="shared" si="12"/>
        <v>40</v>
      </c>
      <c r="H35" s="46">
        <f t="shared" si="12"/>
        <v>40</v>
      </c>
      <c r="I35" s="46">
        <f t="shared" si="12"/>
        <v>40</v>
      </c>
      <c r="J35" s="46">
        <f t="shared" si="12"/>
        <v>40</v>
      </c>
      <c r="K35" s="246"/>
      <c r="L35" s="169"/>
      <c r="M35" s="169"/>
      <c r="N35" s="169"/>
      <c r="O35" s="169"/>
      <c r="P35" s="169"/>
      <c r="Q35" s="161" t="s">
        <v>358</v>
      </c>
      <c r="R35" s="28"/>
    </row>
    <row r="36" spans="1:18" ht="19.5" customHeight="1" x14ac:dyDescent="0.25">
      <c r="A36" s="167"/>
      <c r="B36" s="159"/>
      <c r="C36" s="159"/>
      <c r="D36" s="155" t="s">
        <v>10</v>
      </c>
      <c r="E36" s="156"/>
      <c r="F36" s="156"/>
      <c r="G36" s="156"/>
      <c r="H36" s="156"/>
      <c r="I36" s="156"/>
      <c r="J36" s="157"/>
      <c r="K36" s="247"/>
      <c r="L36" s="170"/>
      <c r="M36" s="170"/>
      <c r="N36" s="170"/>
      <c r="O36" s="170"/>
      <c r="P36" s="170"/>
      <c r="Q36" s="162"/>
      <c r="R36" s="28"/>
    </row>
    <row r="37" spans="1:18" ht="19.5" customHeight="1" x14ac:dyDescent="0.25">
      <c r="A37" s="167"/>
      <c r="B37" s="159"/>
      <c r="C37" s="159"/>
      <c r="D37" s="54" t="s">
        <v>11</v>
      </c>
      <c r="E37" s="46">
        <f>SUM(F37:J37)</f>
        <v>200</v>
      </c>
      <c r="F37" s="46">
        <v>40</v>
      </c>
      <c r="G37" s="46">
        <v>40</v>
      </c>
      <c r="H37" s="46">
        <v>40</v>
      </c>
      <c r="I37" s="46">
        <v>40</v>
      </c>
      <c r="J37" s="46">
        <v>40</v>
      </c>
      <c r="K37" s="247"/>
      <c r="L37" s="170"/>
      <c r="M37" s="170"/>
      <c r="N37" s="170"/>
      <c r="O37" s="170"/>
      <c r="P37" s="170"/>
      <c r="Q37" s="162"/>
      <c r="R37" s="28"/>
    </row>
    <row r="38" spans="1:18" ht="19.5" customHeight="1" x14ac:dyDescent="0.25">
      <c r="A38" s="167"/>
      <c r="B38" s="159"/>
      <c r="C38" s="159"/>
      <c r="D38" s="54" t="s">
        <v>12</v>
      </c>
      <c r="E38" s="46">
        <f t="shared" ref="E38:E40" si="13">SUM(F38:J38)</f>
        <v>0</v>
      </c>
      <c r="F38" s="46">
        <v>0</v>
      </c>
      <c r="G38" s="46">
        <v>0</v>
      </c>
      <c r="H38" s="46">
        <v>0</v>
      </c>
      <c r="I38" s="46">
        <v>0</v>
      </c>
      <c r="J38" s="46">
        <v>0</v>
      </c>
      <c r="K38" s="247"/>
      <c r="L38" s="170"/>
      <c r="M38" s="170"/>
      <c r="N38" s="170"/>
      <c r="O38" s="170"/>
      <c r="P38" s="170"/>
      <c r="Q38" s="162"/>
      <c r="R38" s="28"/>
    </row>
    <row r="39" spans="1:18" ht="19.5" customHeight="1" x14ac:dyDescent="0.25">
      <c r="A39" s="167"/>
      <c r="B39" s="159"/>
      <c r="C39" s="159"/>
      <c r="D39" s="54" t="s">
        <v>13</v>
      </c>
      <c r="E39" s="46">
        <f t="shared" si="13"/>
        <v>0</v>
      </c>
      <c r="F39" s="46">
        <v>0</v>
      </c>
      <c r="G39" s="46">
        <v>0</v>
      </c>
      <c r="H39" s="46">
        <v>0</v>
      </c>
      <c r="I39" s="46">
        <v>0</v>
      </c>
      <c r="J39" s="46">
        <v>0</v>
      </c>
      <c r="K39" s="247"/>
      <c r="L39" s="170"/>
      <c r="M39" s="170"/>
      <c r="N39" s="170"/>
      <c r="O39" s="170"/>
      <c r="P39" s="170"/>
      <c r="Q39" s="162"/>
      <c r="R39" s="28"/>
    </row>
    <row r="40" spans="1:18" ht="19.5" customHeight="1" x14ac:dyDescent="0.25">
      <c r="A40" s="168"/>
      <c r="B40" s="160"/>
      <c r="C40" s="160"/>
      <c r="D40" s="54" t="s">
        <v>14</v>
      </c>
      <c r="E40" s="46">
        <f t="shared" si="13"/>
        <v>0</v>
      </c>
      <c r="F40" s="46">
        <v>0</v>
      </c>
      <c r="G40" s="46">
        <v>0</v>
      </c>
      <c r="H40" s="46">
        <v>0</v>
      </c>
      <c r="I40" s="46">
        <v>0</v>
      </c>
      <c r="J40" s="46">
        <v>0</v>
      </c>
      <c r="K40" s="248"/>
      <c r="L40" s="171"/>
      <c r="M40" s="171"/>
      <c r="N40" s="171"/>
      <c r="O40" s="171"/>
      <c r="P40" s="171"/>
      <c r="Q40" s="163"/>
      <c r="R40" s="28"/>
    </row>
    <row r="41" spans="1:18" ht="19.5" customHeight="1" x14ac:dyDescent="0.25">
      <c r="A41" s="166" t="s">
        <v>75</v>
      </c>
      <c r="B41" s="158" t="s">
        <v>359</v>
      </c>
      <c r="C41" s="158" t="s">
        <v>173</v>
      </c>
      <c r="D41" s="54" t="s">
        <v>9</v>
      </c>
      <c r="E41" s="46">
        <f>SUM(E42:E46)</f>
        <v>440</v>
      </c>
      <c r="F41" s="46">
        <f t="shared" ref="F41:J41" si="14">SUM(F42:F46)</f>
        <v>100</v>
      </c>
      <c r="G41" s="46">
        <f t="shared" si="14"/>
        <v>80</v>
      </c>
      <c r="H41" s="46">
        <f t="shared" si="14"/>
        <v>80</v>
      </c>
      <c r="I41" s="46">
        <f t="shared" si="14"/>
        <v>80</v>
      </c>
      <c r="J41" s="46">
        <f t="shared" si="14"/>
        <v>100</v>
      </c>
      <c r="K41" s="246" t="s">
        <v>360</v>
      </c>
      <c r="L41" s="169">
        <v>1</v>
      </c>
      <c r="M41" s="169">
        <v>0</v>
      </c>
      <c r="N41" s="169">
        <v>0</v>
      </c>
      <c r="O41" s="169">
        <v>0</v>
      </c>
      <c r="P41" s="169">
        <v>0</v>
      </c>
      <c r="Q41" s="161" t="s">
        <v>358</v>
      </c>
      <c r="R41" s="28"/>
    </row>
    <row r="42" spans="1:18" ht="19.5" customHeight="1" x14ac:dyDescent="0.25">
      <c r="A42" s="167"/>
      <c r="B42" s="159"/>
      <c r="C42" s="159"/>
      <c r="D42" s="155" t="s">
        <v>10</v>
      </c>
      <c r="E42" s="156"/>
      <c r="F42" s="156"/>
      <c r="G42" s="156"/>
      <c r="H42" s="156"/>
      <c r="I42" s="156"/>
      <c r="J42" s="157"/>
      <c r="K42" s="247"/>
      <c r="L42" s="170"/>
      <c r="M42" s="170"/>
      <c r="N42" s="170"/>
      <c r="O42" s="170"/>
      <c r="P42" s="170"/>
      <c r="Q42" s="162"/>
      <c r="R42" s="28"/>
    </row>
    <row r="43" spans="1:18" ht="19.5" customHeight="1" x14ac:dyDescent="0.25">
      <c r="A43" s="167"/>
      <c r="B43" s="159"/>
      <c r="C43" s="159"/>
      <c r="D43" s="54" t="s">
        <v>11</v>
      </c>
      <c r="E43" s="46">
        <f>SUM(F43:J43)</f>
        <v>440</v>
      </c>
      <c r="F43" s="46">
        <v>100</v>
      </c>
      <c r="G43" s="46">
        <v>80</v>
      </c>
      <c r="H43" s="46">
        <v>80</v>
      </c>
      <c r="I43" s="46">
        <v>80</v>
      </c>
      <c r="J43" s="46">
        <v>100</v>
      </c>
      <c r="K43" s="247"/>
      <c r="L43" s="170"/>
      <c r="M43" s="170"/>
      <c r="N43" s="170"/>
      <c r="O43" s="170"/>
      <c r="P43" s="170"/>
      <c r="Q43" s="162"/>
      <c r="R43" s="28"/>
    </row>
    <row r="44" spans="1:18" ht="19.5" customHeight="1" x14ac:dyDescent="0.25">
      <c r="A44" s="167"/>
      <c r="B44" s="159"/>
      <c r="C44" s="159"/>
      <c r="D44" s="54" t="s">
        <v>12</v>
      </c>
      <c r="E44" s="46">
        <f t="shared" ref="E44:E46" si="15">SUM(F44:J44)</f>
        <v>0</v>
      </c>
      <c r="F44" s="46">
        <v>0</v>
      </c>
      <c r="G44" s="46">
        <v>0</v>
      </c>
      <c r="H44" s="46">
        <v>0</v>
      </c>
      <c r="I44" s="46">
        <v>0</v>
      </c>
      <c r="J44" s="46">
        <v>0</v>
      </c>
      <c r="K44" s="247"/>
      <c r="L44" s="170"/>
      <c r="M44" s="170"/>
      <c r="N44" s="170"/>
      <c r="O44" s="170"/>
      <c r="P44" s="170"/>
      <c r="Q44" s="162"/>
      <c r="R44" s="28"/>
    </row>
    <row r="45" spans="1:18" ht="19.5" customHeight="1" x14ac:dyDescent="0.25">
      <c r="A45" s="167"/>
      <c r="B45" s="159"/>
      <c r="C45" s="159"/>
      <c r="D45" s="54" t="s">
        <v>13</v>
      </c>
      <c r="E45" s="46">
        <f t="shared" si="15"/>
        <v>0</v>
      </c>
      <c r="F45" s="46">
        <v>0</v>
      </c>
      <c r="G45" s="46">
        <v>0</v>
      </c>
      <c r="H45" s="46">
        <v>0</v>
      </c>
      <c r="I45" s="46">
        <v>0</v>
      </c>
      <c r="J45" s="46">
        <v>0</v>
      </c>
      <c r="K45" s="247"/>
      <c r="L45" s="170"/>
      <c r="M45" s="170"/>
      <c r="N45" s="170"/>
      <c r="O45" s="170"/>
      <c r="P45" s="170"/>
      <c r="Q45" s="162"/>
      <c r="R45" s="28"/>
    </row>
    <row r="46" spans="1:18" ht="19.5" customHeight="1" x14ac:dyDescent="0.25">
      <c r="A46" s="168"/>
      <c r="B46" s="160"/>
      <c r="C46" s="160"/>
      <c r="D46" s="54" t="s">
        <v>14</v>
      </c>
      <c r="E46" s="46">
        <f t="shared" si="15"/>
        <v>0</v>
      </c>
      <c r="F46" s="46">
        <v>0</v>
      </c>
      <c r="G46" s="46">
        <v>0</v>
      </c>
      <c r="H46" s="46">
        <v>0</v>
      </c>
      <c r="I46" s="46">
        <v>0</v>
      </c>
      <c r="J46" s="46">
        <v>0</v>
      </c>
      <c r="K46" s="248"/>
      <c r="L46" s="171"/>
      <c r="M46" s="171"/>
      <c r="N46" s="171"/>
      <c r="O46" s="171"/>
      <c r="P46" s="171"/>
      <c r="Q46" s="163"/>
      <c r="R46" s="28"/>
    </row>
    <row r="47" spans="1:18" ht="15" customHeight="1" x14ac:dyDescent="0.25">
      <c r="A47" s="166" t="s">
        <v>77</v>
      </c>
      <c r="B47" s="158" t="s">
        <v>361</v>
      </c>
      <c r="C47" s="158" t="s">
        <v>173</v>
      </c>
      <c r="D47" s="54" t="s">
        <v>9</v>
      </c>
      <c r="E47" s="46">
        <f>SUM(E48:E52)</f>
        <v>0</v>
      </c>
      <c r="F47" s="46">
        <v>0</v>
      </c>
      <c r="G47" s="46">
        <v>0</v>
      </c>
      <c r="H47" s="46">
        <f>G49</f>
        <v>0</v>
      </c>
      <c r="I47" s="46">
        <f t="shared" ref="I47:J47" si="16">SUM(I48:I52)</f>
        <v>0</v>
      </c>
      <c r="J47" s="46">
        <f t="shared" si="16"/>
        <v>0</v>
      </c>
      <c r="K47" s="207"/>
      <c r="L47" s="207"/>
      <c r="M47" s="207"/>
      <c r="N47" s="207"/>
      <c r="O47" s="207"/>
      <c r="P47" s="207"/>
      <c r="Q47" s="161" t="s">
        <v>362</v>
      </c>
      <c r="R47" s="28"/>
    </row>
    <row r="48" spans="1:18" x14ac:dyDescent="0.25">
      <c r="A48" s="167"/>
      <c r="B48" s="159"/>
      <c r="C48" s="159"/>
      <c r="D48" s="155" t="s">
        <v>10</v>
      </c>
      <c r="E48" s="156"/>
      <c r="F48" s="156"/>
      <c r="G48" s="156"/>
      <c r="H48" s="156"/>
      <c r="I48" s="156"/>
      <c r="J48" s="157"/>
      <c r="K48" s="208"/>
      <c r="L48" s="208"/>
      <c r="M48" s="208"/>
      <c r="N48" s="208"/>
      <c r="O48" s="208"/>
      <c r="P48" s="208"/>
      <c r="Q48" s="162"/>
      <c r="R48" s="28"/>
    </row>
    <row r="49" spans="1:18" x14ac:dyDescent="0.25">
      <c r="A49" s="167"/>
      <c r="B49" s="159"/>
      <c r="C49" s="159"/>
      <c r="D49" s="54" t="s">
        <v>11</v>
      </c>
      <c r="E49" s="46">
        <f>SUM(F49:J49)</f>
        <v>0</v>
      </c>
      <c r="F49" s="46">
        <v>0</v>
      </c>
      <c r="G49" s="46">
        <v>0</v>
      </c>
      <c r="H49" s="46">
        <v>0</v>
      </c>
      <c r="I49" s="46">
        <v>0</v>
      </c>
      <c r="J49" s="46">
        <v>0</v>
      </c>
      <c r="K49" s="208"/>
      <c r="L49" s="208"/>
      <c r="M49" s="208"/>
      <c r="N49" s="208"/>
      <c r="O49" s="208"/>
      <c r="P49" s="208"/>
      <c r="Q49" s="162"/>
      <c r="R49" s="28"/>
    </row>
    <row r="50" spans="1:18" x14ac:dyDescent="0.25">
      <c r="A50" s="167"/>
      <c r="B50" s="159"/>
      <c r="C50" s="159"/>
      <c r="D50" s="54" t="s">
        <v>12</v>
      </c>
      <c r="E50" s="46">
        <f t="shared" ref="E50:E52" si="17">SUM(F50:J50)</f>
        <v>0</v>
      </c>
      <c r="F50" s="46">
        <v>0</v>
      </c>
      <c r="G50" s="46">
        <v>0</v>
      </c>
      <c r="H50" s="46">
        <v>0</v>
      </c>
      <c r="I50" s="46">
        <v>0</v>
      </c>
      <c r="J50" s="46">
        <v>0</v>
      </c>
      <c r="K50" s="208"/>
      <c r="L50" s="208"/>
      <c r="M50" s="208"/>
      <c r="N50" s="208"/>
      <c r="O50" s="208"/>
      <c r="P50" s="208"/>
      <c r="Q50" s="162"/>
      <c r="R50" s="28"/>
    </row>
    <row r="51" spans="1:18" x14ac:dyDescent="0.25">
      <c r="A51" s="167"/>
      <c r="B51" s="159"/>
      <c r="C51" s="159"/>
      <c r="D51" s="54" t="s">
        <v>13</v>
      </c>
      <c r="E51" s="46">
        <f t="shared" si="17"/>
        <v>0</v>
      </c>
      <c r="F51" s="46">
        <v>0</v>
      </c>
      <c r="G51" s="46">
        <v>0</v>
      </c>
      <c r="H51" s="46">
        <v>0</v>
      </c>
      <c r="I51" s="46">
        <v>0</v>
      </c>
      <c r="J51" s="46">
        <v>0</v>
      </c>
      <c r="K51" s="208"/>
      <c r="L51" s="208"/>
      <c r="M51" s="208"/>
      <c r="N51" s="208"/>
      <c r="O51" s="208"/>
      <c r="P51" s="208"/>
      <c r="Q51" s="162"/>
      <c r="R51" s="28"/>
    </row>
    <row r="52" spans="1:18" x14ac:dyDescent="0.25">
      <c r="A52" s="168"/>
      <c r="B52" s="160"/>
      <c r="C52" s="160"/>
      <c r="D52" s="54" t="s">
        <v>14</v>
      </c>
      <c r="E52" s="46">
        <f t="shared" si="17"/>
        <v>0</v>
      </c>
      <c r="F52" s="46">
        <v>0</v>
      </c>
      <c r="G52" s="46">
        <v>0</v>
      </c>
      <c r="H52" s="46">
        <v>0</v>
      </c>
      <c r="I52" s="46">
        <v>0</v>
      </c>
      <c r="J52" s="46">
        <v>0</v>
      </c>
      <c r="K52" s="209"/>
      <c r="L52" s="209"/>
      <c r="M52" s="209"/>
      <c r="N52" s="209"/>
      <c r="O52" s="209"/>
      <c r="P52" s="209"/>
      <c r="Q52" s="163"/>
      <c r="R52" s="28"/>
    </row>
    <row r="53" spans="1:18" x14ac:dyDescent="0.25">
      <c r="A53" s="239"/>
      <c r="B53" s="213" t="s">
        <v>23</v>
      </c>
      <c r="C53" s="239"/>
      <c r="D53" s="54" t="s">
        <v>9</v>
      </c>
      <c r="E53" s="46">
        <f t="shared" ref="E53:J53" si="18">SUM(E54:E58)</f>
        <v>640</v>
      </c>
      <c r="F53" s="46">
        <f t="shared" si="18"/>
        <v>140</v>
      </c>
      <c r="G53" s="46">
        <f t="shared" si="18"/>
        <v>120</v>
      </c>
      <c r="H53" s="46">
        <f t="shared" si="18"/>
        <v>120</v>
      </c>
      <c r="I53" s="46">
        <f t="shared" si="18"/>
        <v>120</v>
      </c>
      <c r="J53" s="46">
        <f t="shared" si="18"/>
        <v>140</v>
      </c>
      <c r="K53" s="207"/>
      <c r="L53" s="207"/>
      <c r="M53" s="207"/>
      <c r="N53" s="207"/>
      <c r="O53" s="207"/>
      <c r="P53" s="207"/>
      <c r="Q53" s="161"/>
      <c r="R53" s="28"/>
    </row>
    <row r="54" spans="1:18" x14ac:dyDescent="0.25">
      <c r="A54" s="239"/>
      <c r="B54" s="213"/>
      <c r="C54" s="239"/>
      <c r="D54" s="155" t="s">
        <v>10</v>
      </c>
      <c r="E54" s="156"/>
      <c r="F54" s="156"/>
      <c r="G54" s="156"/>
      <c r="H54" s="156"/>
      <c r="I54" s="156"/>
      <c r="J54" s="157"/>
      <c r="K54" s="208"/>
      <c r="L54" s="208"/>
      <c r="M54" s="208"/>
      <c r="N54" s="208"/>
      <c r="O54" s="208"/>
      <c r="P54" s="208"/>
      <c r="Q54" s="162"/>
      <c r="R54" s="28"/>
    </row>
    <row r="55" spans="1:18" x14ac:dyDescent="0.25">
      <c r="A55" s="239"/>
      <c r="B55" s="213"/>
      <c r="C55" s="239"/>
      <c r="D55" s="54" t="s">
        <v>11</v>
      </c>
      <c r="E55" s="46">
        <f>SUM(F55:J55)</f>
        <v>640</v>
      </c>
      <c r="F55" s="46">
        <f>F37+F43+F49</f>
        <v>140</v>
      </c>
      <c r="G55" s="46">
        <f t="shared" ref="G55:J55" si="19">G37+G43+G49</f>
        <v>120</v>
      </c>
      <c r="H55" s="46">
        <f>H37+H43+H49</f>
        <v>120</v>
      </c>
      <c r="I55" s="46">
        <f t="shared" si="19"/>
        <v>120</v>
      </c>
      <c r="J55" s="46">
        <f t="shared" si="19"/>
        <v>140</v>
      </c>
      <c r="K55" s="208"/>
      <c r="L55" s="208"/>
      <c r="M55" s="208"/>
      <c r="N55" s="208"/>
      <c r="O55" s="208"/>
      <c r="P55" s="208"/>
      <c r="Q55" s="162"/>
      <c r="R55" s="28"/>
    </row>
    <row r="56" spans="1:18" x14ac:dyDescent="0.25">
      <c r="A56" s="239"/>
      <c r="B56" s="213"/>
      <c r="C56" s="239"/>
      <c r="D56" s="54" t="s">
        <v>12</v>
      </c>
      <c r="E56" s="46">
        <f t="shared" ref="E56:E58" si="20">SUM(F56:J56)</f>
        <v>0</v>
      </c>
      <c r="F56" s="46">
        <f t="shared" ref="F56:J58" si="21">F38+F44+F50</f>
        <v>0</v>
      </c>
      <c r="G56" s="46">
        <f t="shared" si="21"/>
        <v>0</v>
      </c>
      <c r="H56" s="46">
        <f t="shared" si="21"/>
        <v>0</v>
      </c>
      <c r="I56" s="46">
        <f t="shared" si="21"/>
        <v>0</v>
      </c>
      <c r="J56" s="46">
        <f t="shared" si="21"/>
        <v>0</v>
      </c>
      <c r="K56" s="208"/>
      <c r="L56" s="208"/>
      <c r="M56" s="208"/>
      <c r="N56" s="208"/>
      <c r="O56" s="208"/>
      <c r="P56" s="208"/>
      <c r="Q56" s="162"/>
      <c r="R56" s="28"/>
    </row>
    <row r="57" spans="1:18" x14ac:dyDescent="0.25">
      <c r="A57" s="239"/>
      <c r="B57" s="213"/>
      <c r="C57" s="239"/>
      <c r="D57" s="54" t="s">
        <v>13</v>
      </c>
      <c r="E57" s="46">
        <f t="shared" si="20"/>
        <v>0</v>
      </c>
      <c r="F57" s="46">
        <f t="shared" si="21"/>
        <v>0</v>
      </c>
      <c r="G57" s="46">
        <f t="shared" si="21"/>
        <v>0</v>
      </c>
      <c r="H57" s="46">
        <f t="shared" si="21"/>
        <v>0</v>
      </c>
      <c r="I57" s="46">
        <f t="shared" si="21"/>
        <v>0</v>
      </c>
      <c r="J57" s="46">
        <f t="shared" si="21"/>
        <v>0</v>
      </c>
      <c r="K57" s="208"/>
      <c r="L57" s="208"/>
      <c r="M57" s="208"/>
      <c r="N57" s="208"/>
      <c r="O57" s="208"/>
      <c r="P57" s="208"/>
      <c r="Q57" s="162"/>
      <c r="R57" s="28"/>
    </row>
    <row r="58" spans="1:18" x14ac:dyDescent="0.25">
      <c r="A58" s="239"/>
      <c r="B58" s="213"/>
      <c r="C58" s="239"/>
      <c r="D58" s="54" t="s">
        <v>14</v>
      </c>
      <c r="E58" s="46">
        <f t="shared" si="20"/>
        <v>0</v>
      </c>
      <c r="F58" s="46">
        <f t="shared" si="21"/>
        <v>0</v>
      </c>
      <c r="G58" s="46">
        <f t="shared" si="21"/>
        <v>0</v>
      </c>
      <c r="H58" s="46">
        <f t="shared" si="21"/>
        <v>0</v>
      </c>
      <c r="I58" s="46">
        <f t="shared" si="21"/>
        <v>0</v>
      </c>
      <c r="J58" s="46">
        <f t="shared" si="21"/>
        <v>0</v>
      </c>
      <c r="K58" s="209"/>
      <c r="L58" s="209"/>
      <c r="M58" s="209"/>
      <c r="N58" s="209"/>
      <c r="O58" s="209"/>
      <c r="P58" s="209"/>
      <c r="Q58" s="163"/>
      <c r="R58" s="28"/>
    </row>
    <row r="59" spans="1:18" x14ac:dyDescent="0.25">
      <c r="A59" s="119" t="s">
        <v>65</v>
      </c>
      <c r="B59" s="234" t="s">
        <v>363</v>
      </c>
      <c r="C59" s="235"/>
      <c r="D59" s="235"/>
      <c r="E59" s="235"/>
      <c r="F59" s="235"/>
      <c r="G59" s="235"/>
      <c r="H59" s="235"/>
      <c r="I59" s="235"/>
      <c r="J59" s="235"/>
      <c r="K59" s="235"/>
      <c r="L59" s="235"/>
      <c r="M59" s="235"/>
      <c r="N59" s="235"/>
      <c r="O59" s="235"/>
      <c r="P59" s="235"/>
      <c r="Q59" s="236"/>
      <c r="R59" s="28"/>
    </row>
    <row r="60" spans="1:18" x14ac:dyDescent="0.25">
      <c r="A60" s="189" t="s">
        <v>67</v>
      </c>
      <c r="B60" s="213" t="s">
        <v>364</v>
      </c>
      <c r="C60" s="158" t="s">
        <v>173</v>
      </c>
      <c r="D60" s="54" t="s">
        <v>9</v>
      </c>
      <c r="E60" s="46">
        <v>1850</v>
      </c>
      <c r="F60" s="46">
        <f t="shared" ref="F60:J60" si="22">SUM(F61:F65)</f>
        <v>380</v>
      </c>
      <c r="G60" s="46">
        <f t="shared" si="22"/>
        <v>406</v>
      </c>
      <c r="H60" s="46">
        <f t="shared" si="22"/>
        <v>406</v>
      </c>
      <c r="I60" s="46">
        <f t="shared" si="22"/>
        <v>406</v>
      </c>
      <c r="J60" s="46">
        <f t="shared" si="22"/>
        <v>370</v>
      </c>
      <c r="K60" s="179" t="s">
        <v>365</v>
      </c>
      <c r="L60" s="169">
        <v>630</v>
      </c>
      <c r="M60" s="169">
        <v>640</v>
      </c>
      <c r="N60" s="169">
        <v>640</v>
      </c>
      <c r="O60" s="169">
        <v>640</v>
      </c>
      <c r="P60" s="169">
        <v>640</v>
      </c>
      <c r="Q60" s="179" t="s">
        <v>366</v>
      </c>
      <c r="R60" s="28"/>
    </row>
    <row r="61" spans="1:18" x14ac:dyDescent="0.25">
      <c r="A61" s="189"/>
      <c r="B61" s="213"/>
      <c r="C61" s="159"/>
      <c r="D61" s="155" t="s">
        <v>10</v>
      </c>
      <c r="E61" s="156"/>
      <c r="F61" s="156"/>
      <c r="G61" s="156"/>
      <c r="H61" s="156"/>
      <c r="I61" s="156"/>
      <c r="J61" s="157"/>
      <c r="K61" s="180"/>
      <c r="L61" s="170"/>
      <c r="M61" s="170"/>
      <c r="N61" s="170"/>
      <c r="O61" s="170"/>
      <c r="P61" s="170"/>
      <c r="Q61" s="180"/>
      <c r="R61" s="28"/>
    </row>
    <row r="62" spans="1:18" x14ac:dyDescent="0.25">
      <c r="A62" s="189"/>
      <c r="B62" s="213"/>
      <c r="C62" s="159"/>
      <c r="D62" s="54" t="s">
        <v>11</v>
      </c>
      <c r="E62" s="46">
        <f>SUM(F62:J62)</f>
        <v>1968</v>
      </c>
      <c r="F62" s="46">
        <v>380</v>
      </c>
      <c r="G62" s="46">
        <v>406</v>
      </c>
      <c r="H62" s="46">
        <v>406</v>
      </c>
      <c r="I62" s="46">
        <v>406</v>
      </c>
      <c r="J62" s="46">
        <v>370</v>
      </c>
      <c r="K62" s="180"/>
      <c r="L62" s="170"/>
      <c r="M62" s="170"/>
      <c r="N62" s="170"/>
      <c r="O62" s="170"/>
      <c r="P62" s="170"/>
      <c r="Q62" s="180"/>
      <c r="R62" s="28"/>
    </row>
    <row r="63" spans="1:18" x14ac:dyDescent="0.25">
      <c r="A63" s="189"/>
      <c r="B63" s="213"/>
      <c r="C63" s="159"/>
      <c r="D63" s="54" t="s">
        <v>12</v>
      </c>
      <c r="E63" s="46">
        <f t="shared" ref="E63:E65" si="23">SUM(F63:J63)</f>
        <v>0</v>
      </c>
      <c r="F63" s="46">
        <v>0</v>
      </c>
      <c r="G63" s="46">
        <v>0</v>
      </c>
      <c r="H63" s="46">
        <v>0</v>
      </c>
      <c r="I63" s="46">
        <v>0</v>
      </c>
      <c r="J63" s="46">
        <v>0</v>
      </c>
      <c r="K63" s="180"/>
      <c r="L63" s="170"/>
      <c r="M63" s="170"/>
      <c r="N63" s="170"/>
      <c r="O63" s="170"/>
      <c r="P63" s="170"/>
      <c r="Q63" s="180"/>
      <c r="R63" s="28"/>
    </row>
    <row r="64" spans="1:18" x14ac:dyDescent="0.25">
      <c r="A64" s="189"/>
      <c r="B64" s="213"/>
      <c r="C64" s="159"/>
      <c r="D64" s="54" t="s">
        <v>13</v>
      </c>
      <c r="E64" s="46">
        <f t="shared" si="23"/>
        <v>0</v>
      </c>
      <c r="F64" s="46">
        <v>0</v>
      </c>
      <c r="G64" s="46">
        <v>0</v>
      </c>
      <c r="H64" s="46">
        <v>0</v>
      </c>
      <c r="I64" s="46">
        <v>0</v>
      </c>
      <c r="J64" s="46">
        <v>0</v>
      </c>
      <c r="K64" s="180"/>
      <c r="L64" s="170"/>
      <c r="M64" s="170"/>
      <c r="N64" s="170"/>
      <c r="O64" s="170"/>
      <c r="P64" s="170"/>
      <c r="Q64" s="180"/>
      <c r="R64" s="28"/>
    </row>
    <row r="65" spans="1:18" x14ac:dyDescent="0.25">
      <c r="A65" s="189"/>
      <c r="B65" s="213"/>
      <c r="C65" s="160"/>
      <c r="D65" s="54" t="s">
        <v>14</v>
      </c>
      <c r="E65" s="46">
        <f t="shared" si="23"/>
        <v>0</v>
      </c>
      <c r="F65" s="46">
        <v>0</v>
      </c>
      <c r="G65" s="46">
        <v>0</v>
      </c>
      <c r="H65" s="46">
        <v>0</v>
      </c>
      <c r="I65" s="46">
        <v>0</v>
      </c>
      <c r="J65" s="46">
        <v>0</v>
      </c>
      <c r="K65" s="181"/>
      <c r="L65" s="171"/>
      <c r="M65" s="171"/>
      <c r="N65" s="171"/>
      <c r="O65" s="171"/>
      <c r="P65" s="171"/>
      <c r="Q65" s="181"/>
      <c r="R65" s="28"/>
    </row>
    <row r="66" spans="1:18" x14ac:dyDescent="0.25">
      <c r="A66" s="239"/>
      <c r="B66" s="213" t="s">
        <v>66</v>
      </c>
      <c r="C66" s="239"/>
      <c r="D66" s="54" t="s">
        <v>9</v>
      </c>
      <c r="E66" s="46">
        <f t="shared" ref="E66:J66" si="24">SUM(E67:E71)</f>
        <v>1968</v>
      </c>
      <c r="F66" s="46">
        <f t="shared" si="24"/>
        <v>380</v>
      </c>
      <c r="G66" s="46">
        <f t="shared" si="24"/>
        <v>406</v>
      </c>
      <c r="H66" s="46">
        <f t="shared" si="24"/>
        <v>406</v>
      </c>
      <c r="I66" s="46">
        <f t="shared" si="24"/>
        <v>406</v>
      </c>
      <c r="J66" s="46">
        <f t="shared" si="24"/>
        <v>370</v>
      </c>
      <c r="K66" s="207"/>
      <c r="L66" s="207"/>
      <c r="M66" s="207"/>
      <c r="N66" s="207"/>
      <c r="O66" s="207"/>
      <c r="P66" s="207"/>
      <c r="Q66" s="161"/>
      <c r="R66" s="28"/>
    </row>
    <row r="67" spans="1:18" x14ac:dyDescent="0.25">
      <c r="A67" s="239"/>
      <c r="B67" s="213"/>
      <c r="C67" s="239"/>
      <c r="D67" s="155" t="s">
        <v>10</v>
      </c>
      <c r="E67" s="156"/>
      <c r="F67" s="156"/>
      <c r="G67" s="156"/>
      <c r="H67" s="156"/>
      <c r="I67" s="156"/>
      <c r="J67" s="157"/>
      <c r="K67" s="208"/>
      <c r="L67" s="208"/>
      <c r="M67" s="208"/>
      <c r="N67" s="208"/>
      <c r="O67" s="208"/>
      <c r="P67" s="208"/>
      <c r="Q67" s="162"/>
      <c r="R67" s="28"/>
    </row>
    <row r="68" spans="1:18" x14ac:dyDescent="0.25">
      <c r="A68" s="239"/>
      <c r="B68" s="213"/>
      <c r="C68" s="239"/>
      <c r="D68" s="54" t="s">
        <v>11</v>
      </c>
      <c r="E68" s="46">
        <f>SUM(F68:J68)</f>
        <v>1968</v>
      </c>
      <c r="F68" s="46">
        <f>F62</f>
        <v>380</v>
      </c>
      <c r="G68" s="46">
        <f t="shared" ref="G68:J68" si="25">G62</f>
        <v>406</v>
      </c>
      <c r="H68" s="46">
        <f t="shared" si="25"/>
        <v>406</v>
      </c>
      <c r="I68" s="46">
        <f t="shared" si="25"/>
        <v>406</v>
      </c>
      <c r="J68" s="46">
        <f t="shared" si="25"/>
        <v>370</v>
      </c>
      <c r="K68" s="208"/>
      <c r="L68" s="208"/>
      <c r="M68" s="208"/>
      <c r="N68" s="208"/>
      <c r="O68" s="208"/>
      <c r="P68" s="208"/>
      <c r="Q68" s="162"/>
      <c r="R68" s="28"/>
    </row>
    <row r="69" spans="1:18" x14ac:dyDescent="0.25">
      <c r="A69" s="239"/>
      <c r="B69" s="213"/>
      <c r="C69" s="239"/>
      <c r="D69" s="54" t="s">
        <v>12</v>
      </c>
      <c r="E69" s="46">
        <f t="shared" ref="E69:E71" si="26">SUM(F69:J69)</f>
        <v>0</v>
      </c>
      <c r="F69" s="46">
        <f t="shared" ref="F69:J71" si="27">F63</f>
        <v>0</v>
      </c>
      <c r="G69" s="46">
        <f t="shared" si="27"/>
        <v>0</v>
      </c>
      <c r="H69" s="46">
        <f t="shared" si="27"/>
        <v>0</v>
      </c>
      <c r="I69" s="46">
        <f t="shared" si="27"/>
        <v>0</v>
      </c>
      <c r="J69" s="46">
        <f t="shared" si="27"/>
        <v>0</v>
      </c>
      <c r="K69" s="208"/>
      <c r="L69" s="208"/>
      <c r="M69" s="208"/>
      <c r="N69" s="208"/>
      <c r="O69" s="208"/>
      <c r="P69" s="208"/>
      <c r="Q69" s="162"/>
      <c r="R69" s="28"/>
    </row>
    <row r="70" spans="1:18" x14ac:dyDescent="0.25">
      <c r="A70" s="239"/>
      <c r="B70" s="213"/>
      <c r="C70" s="239"/>
      <c r="D70" s="54" t="s">
        <v>13</v>
      </c>
      <c r="E70" s="46">
        <f t="shared" si="26"/>
        <v>0</v>
      </c>
      <c r="F70" s="46">
        <f t="shared" si="27"/>
        <v>0</v>
      </c>
      <c r="G70" s="46">
        <f t="shared" si="27"/>
        <v>0</v>
      </c>
      <c r="H70" s="46">
        <f t="shared" si="27"/>
        <v>0</v>
      </c>
      <c r="I70" s="46">
        <f t="shared" si="27"/>
        <v>0</v>
      </c>
      <c r="J70" s="46">
        <f t="shared" si="27"/>
        <v>0</v>
      </c>
      <c r="K70" s="208"/>
      <c r="L70" s="208"/>
      <c r="M70" s="208"/>
      <c r="N70" s="208"/>
      <c r="O70" s="208"/>
      <c r="P70" s="208"/>
      <c r="Q70" s="162"/>
      <c r="R70" s="28"/>
    </row>
    <row r="71" spans="1:18" x14ac:dyDescent="0.25">
      <c r="A71" s="239"/>
      <c r="B71" s="213"/>
      <c r="C71" s="239"/>
      <c r="D71" s="54" t="s">
        <v>14</v>
      </c>
      <c r="E71" s="46">
        <f t="shared" si="26"/>
        <v>0</v>
      </c>
      <c r="F71" s="46">
        <f t="shared" si="27"/>
        <v>0</v>
      </c>
      <c r="G71" s="46">
        <f t="shared" si="27"/>
        <v>0</v>
      </c>
      <c r="H71" s="46">
        <f t="shared" si="27"/>
        <v>0</v>
      </c>
      <c r="I71" s="46">
        <f t="shared" si="27"/>
        <v>0</v>
      </c>
      <c r="J71" s="46">
        <f t="shared" si="27"/>
        <v>0</v>
      </c>
      <c r="K71" s="209"/>
      <c r="L71" s="209"/>
      <c r="M71" s="209"/>
      <c r="N71" s="209"/>
      <c r="O71" s="209"/>
      <c r="P71" s="209"/>
      <c r="Q71" s="163"/>
      <c r="R71" s="28"/>
    </row>
    <row r="72" spans="1:18" x14ac:dyDescent="0.25">
      <c r="A72" s="119" t="s">
        <v>367</v>
      </c>
      <c r="B72" s="234" t="s">
        <v>368</v>
      </c>
      <c r="C72" s="235"/>
      <c r="D72" s="235"/>
      <c r="E72" s="235"/>
      <c r="F72" s="235"/>
      <c r="G72" s="235"/>
      <c r="H72" s="235"/>
      <c r="I72" s="235"/>
      <c r="J72" s="235"/>
      <c r="K72" s="235"/>
      <c r="L72" s="235"/>
      <c r="M72" s="235"/>
      <c r="N72" s="235"/>
      <c r="O72" s="235"/>
      <c r="P72" s="235"/>
      <c r="Q72" s="236"/>
      <c r="R72" s="28"/>
    </row>
    <row r="73" spans="1:18" x14ac:dyDescent="0.25">
      <c r="A73" s="189" t="s">
        <v>100</v>
      </c>
      <c r="B73" s="213" t="s">
        <v>369</v>
      </c>
      <c r="C73" s="158" t="s">
        <v>173</v>
      </c>
      <c r="D73" s="54" t="s">
        <v>9</v>
      </c>
      <c r="E73" s="46">
        <f t="shared" ref="E73:J73" si="28">SUM(E74:E78)</f>
        <v>140</v>
      </c>
      <c r="F73" s="46">
        <f t="shared" si="28"/>
        <v>140</v>
      </c>
      <c r="G73" s="46">
        <f t="shared" si="28"/>
        <v>0</v>
      </c>
      <c r="H73" s="46">
        <f t="shared" si="28"/>
        <v>0</v>
      </c>
      <c r="I73" s="46">
        <f t="shared" si="28"/>
        <v>0</v>
      </c>
      <c r="J73" s="46">
        <f t="shared" si="28"/>
        <v>0</v>
      </c>
      <c r="K73" s="179" t="s">
        <v>370</v>
      </c>
      <c r="L73" s="169">
        <v>100</v>
      </c>
      <c r="M73" s="169">
        <v>100</v>
      </c>
      <c r="N73" s="169">
        <v>100</v>
      </c>
      <c r="O73" s="169">
        <v>100</v>
      </c>
      <c r="P73" s="169">
        <v>100</v>
      </c>
      <c r="Q73" s="179" t="s">
        <v>71</v>
      </c>
      <c r="R73" s="28"/>
    </row>
    <row r="74" spans="1:18" x14ac:dyDescent="0.25">
      <c r="A74" s="189"/>
      <c r="B74" s="213"/>
      <c r="C74" s="159"/>
      <c r="D74" s="155" t="s">
        <v>10</v>
      </c>
      <c r="E74" s="156"/>
      <c r="F74" s="156"/>
      <c r="G74" s="156"/>
      <c r="H74" s="156"/>
      <c r="I74" s="156"/>
      <c r="J74" s="157"/>
      <c r="K74" s="180"/>
      <c r="L74" s="170"/>
      <c r="M74" s="170"/>
      <c r="N74" s="170"/>
      <c r="O74" s="170"/>
      <c r="P74" s="170"/>
      <c r="Q74" s="180"/>
      <c r="R74" s="28"/>
    </row>
    <row r="75" spans="1:18" x14ac:dyDescent="0.25">
      <c r="A75" s="189"/>
      <c r="B75" s="213"/>
      <c r="C75" s="159"/>
      <c r="D75" s="54" t="s">
        <v>11</v>
      </c>
      <c r="E75" s="46">
        <f>SUM(F75:J75)</f>
        <v>140</v>
      </c>
      <c r="F75" s="46">
        <v>140</v>
      </c>
      <c r="G75" s="46">
        <v>0</v>
      </c>
      <c r="H75" s="46">
        <v>0</v>
      </c>
      <c r="I75" s="46">
        <v>0</v>
      </c>
      <c r="J75" s="46">
        <v>0</v>
      </c>
      <c r="K75" s="180"/>
      <c r="L75" s="170"/>
      <c r="M75" s="170"/>
      <c r="N75" s="170"/>
      <c r="O75" s="170"/>
      <c r="P75" s="170"/>
      <c r="Q75" s="180"/>
      <c r="R75" s="28"/>
    </row>
    <row r="76" spans="1:18" x14ac:dyDescent="0.25">
      <c r="A76" s="189"/>
      <c r="B76" s="213"/>
      <c r="C76" s="159"/>
      <c r="D76" s="54" t="s">
        <v>12</v>
      </c>
      <c r="E76" s="46">
        <f t="shared" ref="E76:E78" si="29">SUM(F76:J76)</f>
        <v>0</v>
      </c>
      <c r="F76" s="46">
        <f t="shared" ref="F76:J78" si="30">F82+F112+F106</f>
        <v>0</v>
      </c>
      <c r="G76" s="46">
        <f t="shared" si="30"/>
        <v>0</v>
      </c>
      <c r="H76" s="46">
        <f t="shared" si="30"/>
        <v>0</v>
      </c>
      <c r="I76" s="46">
        <f t="shared" si="30"/>
        <v>0</v>
      </c>
      <c r="J76" s="46">
        <f t="shared" si="30"/>
        <v>0</v>
      </c>
      <c r="K76" s="180"/>
      <c r="L76" s="170"/>
      <c r="M76" s="170"/>
      <c r="N76" s="170"/>
      <c r="O76" s="170"/>
      <c r="P76" s="170"/>
      <c r="Q76" s="180"/>
      <c r="R76" s="28"/>
    </row>
    <row r="77" spans="1:18" x14ac:dyDescent="0.25">
      <c r="A77" s="189"/>
      <c r="B77" s="213"/>
      <c r="C77" s="159"/>
      <c r="D77" s="54" t="s">
        <v>13</v>
      </c>
      <c r="E77" s="46">
        <f t="shared" si="29"/>
        <v>0</v>
      </c>
      <c r="F77" s="46">
        <f t="shared" si="30"/>
        <v>0</v>
      </c>
      <c r="G77" s="46">
        <f t="shared" si="30"/>
        <v>0</v>
      </c>
      <c r="H77" s="46">
        <f t="shared" si="30"/>
        <v>0</v>
      </c>
      <c r="I77" s="46">
        <f t="shared" si="30"/>
        <v>0</v>
      </c>
      <c r="J77" s="46">
        <f t="shared" si="30"/>
        <v>0</v>
      </c>
      <c r="K77" s="180"/>
      <c r="L77" s="170"/>
      <c r="M77" s="170"/>
      <c r="N77" s="170"/>
      <c r="O77" s="170"/>
      <c r="P77" s="170"/>
      <c r="Q77" s="180"/>
      <c r="R77" s="28"/>
    </row>
    <row r="78" spans="1:18" x14ac:dyDescent="0.25">
      <c r="A78" s="189"/>
      <c r="B78" s="213"/>
      <c r="C78" s="160"/>
      <c r="D78" s="54" t="s">
        <v>14</v>
      </c>
      <c r="E78" s="46">
        <f t="shared" si="29"/>
        <v>0</v>
      </c>
      <c r="F78" s="46">
        <f t="shared" si="30"/>
        <v>0</v>
      </c>
      <c r="G78" s="46">
        <f t="shared" si="30"/>
        <v>0</v>
      </c>
      <c r="H78" s="46">
        <f t="shared" si="30"/>
        <v>0</v>
      </c>
      <c r="I78" s="46">
        <f t="shared" si="30"/>
        <v>0</v>
      </c>
      <c r="J78" s="46">
        <f t="shared" si="30"/>
        <v>0</v>
      </c>
      <c r="K78" s="181"/>
      <c r="L78" s="171"/>
      <c r="M78" s="171"/>
      <c r="N78" s="171"/>
      <c r="O78" s="171"/>
      <c r="P78" s="171"/>
      <c r="Q78" s="181"/>
      <c r="R78" s="28"/>
    </row>
    <row r="79" spans="1:18" x14ac:dyDescent="0.25">
      <c r="A79" s="239"/>
      <c r="B79" s="213" t="s">
        <v>66</v>
      </c>
      <c r="C79" s="239"/>
      <c r="D79" s="54" t="s">
        <v>9</v>
      </c>
      <c r="E79" s="46">
        <f t="shared" ref="E79:J79" si="31">SUM(E80:E84)</f>
        <v>140</v>
      </c>
      <c r="F79" s="46">
        <f t="shared" si="31"/>
        <v>140</v>
      </c>
      <c r="G79" s="46">
        <f t="shared" si="31"/>
        <v>0</v>
      </c>
      <c r="H79" s="46">
        <f t="shared" si="31"/>
        <v>0</v>
      </c>
      <c r="I79" s="46">
        <f t="shared" si="31"/>
        <v>0</v>
      </c>
      <c r="J79" s="46">
        <f t="shared" si="31"/>
        <v>0</v>
      </c>
      <c r="K79" s="207"/>
      <c r="L79" s="207"/>
      <c r="M79" s="207"/>
      <c r="N79" s="207"/>
      <c r="O79" s="207"/>
      <c r="P79" s="207"/>
      <c r="Q79" s="161"/>
      <c r="R79" s="28"/>
    </row>
    <row r="80" spans="1:18" x14ac:dyDescent="0.25">
      <c r="A80" s="239"/>
      <c r="B80" s="213"/>
      <c r="C80" s="239"/>
      <c r="D80" s="155" t="s">
        <v>10</v>
      </c>
      <c r="E80" s="156"/>
      <c r="F80" s="156"/>
      <c r="G80" s="156"/>
      <c r="H80" s="156"/>
      <c r="I80" s="156"/>
      <c r="J80" s="157"/>
      <c r="K80" s="208"/>
      <c r="L80" s="208"/>
      <c r="M80" s="208"/>
      <c r="N80" s="208"/>
      <c r="O80" s="208"/>
      <c r="P80" s="208"/>
      <c r="Q80" s="162"/>
      <c r="R80" s="28"/>
    </row>
    <row r="81" spans="1:18" x14ac:dyDescent="0.25">
      <c r="A81" s="239"/>
      <c r="B81" s="213"/>
      <c r="C81" s="239"/>
      <c r="D81" s="54" t="s">
        <v>11</v>
      </c>
      <c r="E81" s="46">
        <f>SUM(F81:J81)</f>
        <v>140</v>
      </c>
      <c r="F81" s="46">
        <f>F75</f>
        <v>140</v>
      </c>
      <c r="G81" s="46">
        <f t="shared" ref="G81:J81" si="32">G75</f>
        <v>0</v>
      </c>
      <c r="H81" s="46">
        <f t="shared" si="32"/>
        <v>0</v>
      </c>
      <c r="I81" s="46">
        <f t="shared" si="32"/>
        <v>0</v>
      </c>
      <c r="J81" s="46">
        <f t="shared" si="32"/>
        <v>0</v>
      </c>
      <c r="K81" s="208"/>
      <c r="L81" s="208"/>
      <c r="M81" s="208"/>
      <c r="N81" s="208"/>
      <c r="O81" s="208"/>
      <c r="P81" s="208"/>
      <c r="Q81" s="162"/>
      <c r="R81" s="28"/>
    </row>
    <row r="82" spans="1:18" x14ac:dyDescent="0.25">
      <c r="A82" s="239"/>
      <c r="B82" s="213"/>
      <c r="C82" s="239"/>
      <c r="D82" s="54" t="s">
        <v>12</v>
      </c>
      <c r="E82" s="46">
        <f t="shared" ref="E82:E84" si="33">SUM(F82:J82)</f>
        <v>0</v>
      </c>
      <c r="F82" s="46">
        <f t="shared" ref="F82:J84" si="34">F100+F118+F112</f>
        <v>0</v>
      </c>
      <c r="G82" s="46">
        <f t="shared" si="34"/>
        <v>0</v>
      </c>
      <c r="H82" s="46">
        <f t="shared" si="34"/>
        <v>0</v>
      </c>
      <c r="I82" s="46">
        <f t="shared" si="34"/>
        <v>0</v>
      </c>
      <c r="J82" s="46">
        <f t="shared" si="34"/>
        <v>0</v>
      </c>
      <c r="K82" s="208"/>
      <c r="L82" s="208"/>
      <c r="M82" s="208"/>
      <c r="N82" s="208"/>
      <c r="O82" s="208"/>
      <c r="P82" s="208"/>
      <c r="Q82" s="162"/>
      <c r="R82" s="28"/>
    </row>
    <row r="83" spans="1:18" x14ac:dyDescent="0.25">
      <c r="A83" s="239"/>
      <c r="B83" s="213"/>
      <c r="C83" s="239"/>
      <c r="D83" s="54" t="s">
        <v>13</v>
      </c>
      <c r="E83" s="46">
        <f t="shared" si="33"/>
        <v>0</v>
      </c>
      <c r="F83" s="46">
        <f t="shared" si="34"/>
        <v>0</v>
      </c>
      <c r="G83" s="46">
        <f t="shared" si="34"/>
        <v>0</v>
      </c>
      <c r="H83" s="46">
        <f t="shared" si="34"/>
        <v>0</v>
      </c>
      <c r="I83" s="46">
        <f t="shared" si="34"/>
        <v>0</v>
      </c>
      <c r="J83" s="46">
        <f t="shared" si="34"/>
        <v>0</v>
      </c>
      <c r="K83" s="208"/>
      <c r="L83" s="208"/>
      <c r="M83" s="208"/>
      <c r="N83" s="208"/>
      <c r="O83" s="208"/>
      <c r="P83" s="208"/>
      <c r="Q83" s="162"/>
      <c r="R83" s="28"/>
    </row>
    <row r="84" spans="1:18" x14ac:dyDescent="0.25">
      <c r="A84" s="239"/>
      <c r="B84" s="213"/>
      <c r="C84" s="239"/>
      <c r="D84" s="54" t="s">
        <v>14</v>
      </c>
      <c r="E84" s="46">
        <f t="shared" si="33"/>
        <v>0</v>
      </c>
      <c r="F84" s="46">
        <f t="shared" si="34"/>
        <v>0</v>
      </c>
      <c r="G84" s="46">
        <f t="shared" si="34"/>
        <v>0</v>
      </c>
      <c r="H84" s="46">
        <f t="shared" si="34"/>
        <v>0</v>
      </c>
      <c r="I84" s="46">
        <f t="shared" si="34"/>
        <v>0</v>
      </c>
      <c r="J84" s="46">
        <f t="shared" si="34"/>
        <v>0</v>
      </c>
      <c r="K84" s="209"/>
      <c r="L84" s="209"/>
      <c r="M84" s="209"/>
      <c r="N84" s="209"/>
      <c r="O84" s="209"/>
      <c r="P84" s="209"/>
      <c r="Q84" s="163"/>
      <c r="R84" s="28"/>
    </row>
    <row r="85" spans="1:18" x14ac:dyDescent="0.25">
      <c r="A85" s="239"/>
      <c r="B85" s="213" t="s">
        <v>371</v>
      </c>
      <c r="C85" s="239"/>
      <c r="D85" s="54" t="s">
        <v>9</v>
      </c>
      <c r="E85" s="46">
        <f>E87</f>
        <v>4817</v>
      </c>
      <c r="F85" s="46">
        <f>F87</f>
        <v>1012.5</v>
      </c>
      <c r="G85" s="46">
        <f t="shared" ref="G85:J85" si="35">G87</f>
        <v>981.5</v>
      </c>
      <c r="H85" s="46">
        <f t="shared" si="35"/>
        <v>981.5</v>
      </c>
      <c r="I85" s="46">
        <f t="shared" si="35"/>
        <v>981.5</v>
      </c>
      <c r="J85" s="46">
        <f t="shared" si="35"/>
        <v>860</v>
      </c>
      <c r="K85" s="207"/>
      <c r="L85" s="207"/>
      <c r="M85" s="207"/>
      <c r="N85" s="207"/>
      <c r="O85" s="207"/>
      <c r="P85" s="207"/>
      <c r="Q85" s="161"/>
      <c r="R85" s="28"/>
    </row>
    <row r="86" spans="1:18" x14ac:dyDescent="0.25">
      <c r="A86" s="239"/>
      <c r="B86" s="213"/>
      <c r="C86" s="239"/>
      <c r="D86" s="155" t="s">
        <v>10</v>
      </c>
      <c r="E86" s="156"/>
      <c r="F86" s="156"/>
      <c r="G86" s="156"/>
      <c r="H86" s="156"/>
      <c r="I86" s="156"/>
      <c r="J86" s="157"/>
      <c r="K86" s="208"/>
      <c r="L86" s="208"/>
      <c r="M86" s="208"/>
      <c r="N86" s="208"/>
      <c r="O86" s="208"/>
      <c r="P86" s="208"/>
      <c r="Q86" s="162"/>
      <c r="R86" s="28"/>
    </row>
    <row r="87" spans="1:18" x14ac:dyDescent="0.25">
      <c r="A87" s="239"/>
      <c r="B87" s="213"/>
      <c r="C87" s="239"/>
      <c r="D87" s="54" t="s">
        <v>11</v>
      </c>
      <c r="E87" s="46">
        <f>SUM(F87:J87)</f>
        <v>4817</v>
      </c>
      <c r="F87" s="46">
        <f>F68+F55+F30+F81</f>
        <v>1012.5</v>
      </c>
      <c r="G87" s="46">
        <f t="shared" ref="G87:J87" si="36">G68+G55+G30+G81</f>
        <v>981.5</v>
      </c>
      <c r="H87" s="46">
        <f t="shared" si="36"/>
        <v>981.5</v>
      </c>
      <c r="I87" s="46">
        <f t="shared" si="36"/>
        <v>981.5</v>
      </c>
      <c r="J87" s="46">
        <f t="shared" si="36"/>
        <v>860</v>
      </c>
      <c r="K87" s="208"/>
      <c r="L87" s="208"/>
      <c r="M87" s="208"/>
      <c r="N87" s="208"/>
      <c r="O87" s="208"/>
      <c r="P87" s="208"/>
      <c r="Q87" s="162"/>
      <c r="R87" s="28"/>
    </row>
    <row r="88" spans="1:18" x14ac:dyDescent="0.25">
      <c r="A88" s="239"/>
      <c r="B88" s="213"/>
      <c r="C88" s="239"/>
      <c r="D88" s="54" t="s">
        <v>12</v>
      </c>
      <c r="E88" s="46">
        <f t="shared" ref="E88:E90" si="37">SUM(F88:J88)</f>
        <v>0</v>
      </c>
      <c r="F88" s="46">
        <f t="shared" ref="F88:J90" si="38">F69+F56+F31+F82</f>
        <v>0</v>
      </c>
      <c r="G88" s="46">
        <f t="shared" si="38"/>
        <v>0</v>
      </c>
      <c r="H88" s="46">
        <f t="shared" si="38"/>
        <v>0</v>
      </c>
      <c r="I88" s="46">
        <f t="shared" si="38"/>
        <v>0</v>
      </c>
      <c r="J88" s="46">
        <f t="shared" si="38"/>
        <v>0</v>
      </c>
      <c r="K88" s="208"/>
      <c r="L88" s="208"/>
      <c r="M88" s="208"/>
      <c r="N88" s="208"/>
      <c r="O88" s="208"/>
      <c r="P88" s="208"/>
      <c r="Q88" s="162"/>
      <c r="R88" s="28"/>
    </row>
    <row r="89" spans="1:18" x14ac:dyDescent="0.25">
      <c r="A89" s="239"/>
      <c r="B89" s="213"/>
      <c r="C89" s="239"/>
      <c r="D89" s="54" t="s">
        <v>13</v>
      </c>
      <c r="E89" s="46">
        <f t="shared" si="37"/>
        <v>0</v>
      </c>
      <c r="F89" s="46">
        <f t="shared" si="38"/>
        <v>0</v>
      </c>
      <c r="G89" s="46">
        <f t="shared" si="38"/>
        <v>0</v>
      </c>
      <c r="H89" s="46">
        <f t="shared" si="38"/>
        <v>0</v>
      </c>
      <c r="I89" s="46">
        <f t="shared" si="38"/>
        <v>0</v>
      </c>
      <c r="J89" s="46">
        <f t="shared" si="38"/>
        <v>0</v>
      </c>
      <c r="K89" s="208"/>
      <c r="L89" s="208"/>
      <c r="M89" s="208"/>
      <c r="N89" s="208"/>
      <c r="O89" s="208"/>
      <c r="P89" s="208"/>
      <c r="Q89" s="162"/>
      <c r="R89" s="28"/>
    </row>
    <row r="90" spans="1:18" x14ac:dyDescent="0.25">
      <c r="A90" s="239"/>
      <c r="B90" s="213"/>
      <c r="C90" s="239"/>
      <c r="D90" s="54" t="s">
        <v>14</v>
      </c>
      <c r="E90" s="46">
        <f t="shared" si="37"/>
        <v>0</v>
      </c>
      <c r="F90" s="46">
        <f t="shared" si="38"/>
        <v>0</v>
      </c>
      <c r="G90" s="46">
        <f t="shared" si="38"/>
        <v>0</v>
      </c>
      <c r="H90" s="46">
        <f t="shared" si="38"/>
        <v>0</v>
      </c>
      <c r="I90" s="46">
        <f t="shared" si="38"/>
        <v>0</v>
      </c>
      <c r="J90" s="46">
        <f t="shared" si="38"/>
        <v>0</v>
      </c>
      <c r="K90" s="209"/>
      <c r="L90" s="209"/>
      <c r="M90" s="209"/>
      <c r="N90" s="209"/>
      <c r="O90" s="209"/>
      <c r="P90" s="209"/>
      <c r="Q90" s="163"/>
      <c r="R90" s="28"/>
    </row>
    <row r="91" spans="1:18" x14ac:dyDescent="0.25">
      <c r="A91" s="120"/>
      <c r="B91" s="28" t="s">
        <v>17</v>
      </c>
      <c r="C91" s="28"/>
      <c r="D91" s="28"/>
      <c r="E91" s="28"/>
      <c r="F91" s="28"/>
      <c r="G91" s="28"/>
      <c r="H91" s="28"/>
      <c r="I91" s="28"/>
      <c r="J91" s="28"/>
      <c r="K91" s="28"/>
      <c r="L91" s="28"/>
      <c r="M91" s="28"/>
      <c r="N91" s="28"/>
      <c r="O91" s="28"/>
      <c r="P91" s="28"/>
      <c r="Q91" s="59"/>
      <c r="R91" s="28"/>
    </row>
    <row r="92" spans="1:18" ht="30" customHeight="1" x14ac:dyDescent="0.25">
      <c r="A92" s="120"/>
      <c r="B92" s="240" t="s">
        <v>18</v>
      </c>
      <c r="C92" s="240"/>
      <c r="D92" s="240"/>
      <c r="E92" s="240"/>
      <c r="F92" s="240"/>
      <c r="G92" s="240"/>
      <c r="H92" s="240"/>
      <c r="I92" s="240"/>
      <c r="J92" s="240"/>
      <c r="K92" s="240"/>
      <c r="L92" s="240"/>
      <c r="M92" s="240"/>
      <c r="N92" s="240"/>
      <c r="O92" s="240"/>
      <c r="P92" s="240"/>
      <c r="Q92" s="240"/>
      <c r="R92" s="28"/>
    </row>
    <row r="93" spans="1:18" x14ac:dyDescent="0.25">
      <c r="A93" s="120"/>
      <c r="B93" s="241" t="s">
        <v>19</v>
      </c>
      <c r="C93" s="241"/>
      <c r="D93" s="241"/>
      <c r="E93" s="241"/>
      <c r="F93" s="241"/>
      <c r="G93" s="241"/>
      <c r="H93" s="241"/>
      <c r="I93" s="241"/>
      <c r="J93" s="241"/>
      <c r="K93" s="241"/>
      <c r="L93" s="241"/>
      <c r="M93" s="241"/>
      <c r="N93" s="241"/>
      <c r="O93" s="241"/>
      <c r="P93" s="241"/>
      <c r="Q93" s="241"/>
      <c r="R93" s="28"/>
    </row>
    <row r="94" spans="1:18" x14ac:dyDescent="0.25">
      <c r="A94" s="120"/>
      <c r="B94" s="28"/>
      <c r="C94" s="28"/>
      <c r="D94" s="28"/>
      <c r="E94" s="28"/>
      <c r="F94" s="28"/>
      <c r="G94" s="28"/>
      <c r="H94" s="28"/>
      <c r="I94" s="28"/>
      <c r="J94" s="28"/>
      <c r="K94" s="28"/>
      <c r="L94" s="28"/>
      <c r="M94" s="28"/>
      <c r="N94" s="28"/>
      <c r="O94" s="28"/>
      <c r="P94" s="28"/>
      <c r="Q94" s="59"/>
      <c r="R94" s="28"/>
    </row>
    <row r="95" spans="1:18" x14ac:dyDescent="0.25">
      <c r="A95" s="120"/>
      <c r="B95" s="28"/>
      <c r="C95" s="28"/>
      <c r="D95" s="28"/>
      <c r="E95" s="28"/>
      <c r="F95" s="193"/>
      <c r="G95" s="193"/>
      <c r="H95" s="193"/>
      <c r="I95" s="193"/>
      <c r="J95" s="28"/>
      <c r="K95" s="28"/>
      <c r="L95" s="28"/>
      <c r="M95" s="28"/>
      <c r="N95" s="28"/>
      <c r="O95" s="28"/>
      <c r="P95" s="28"/>
      <c r="Q95" s="59"/>
      <c r="R95" s="28"/>
    </row>
    <row r="96" spans="1:18" x14ac:dyDescent="0.25">
      <c r="A96" s="120"/>
      <c r="B96" s="28"/>
      <c r="C96" s="28"/>
      <c r="D96" s="28"/>
      <c r="E96" s="28"/>
      <c r="F96" s="28"/>
      <c r="G96" s="28"/>
      <c r="H96" s="28"/>
      <c r="I96" s="28"/>
      <c r="J96" s="28"/>
      <c r="K96" s="28"/>
      <c r="L96" s="28"/>
      <c r="M96" s="28"/>
      <c r="N96" s="28"/>
      <c r="O96" s="28"/>
      <c r="P96" s="28"/>
      <c r="Q96" s="59"/>
      <c r="R96" s="28"/>
    </row>
    <row r="97" spans="1:18" x14ac:dyDescent="0.25">
      <c r="A97" s="120"/>
      <c r="B97" s="28"/>
      <c r="C97" s="28"/>
      <c r="D97" s="28"/>
      <c r="E97" s="28"/>
      <c r="F97" s="28"/>
      <c r="G97" s="28"/>
      <c r="H97" s="28"/>
      <c r="I97" s="28"/>
      <c r="J97" s="28"/>
      <c r="K97" s="28"/>
      <c r="L97" s="28"/>
      <c r="M97" s="28"/>
      <c r="N97" s="28"/>
      <c r="O97" s="28"/>
      <c r="P97" s="28"/>
      <c r="Q97" s="59"/>
      <c r="R97" s="28"/>
    </row>
    <row r="98" spans="1:18" x14ac:dyDescent="0.25">
      <c r="A98" s="28"/>
      <c r="B98" s="28"/>
      <c r="C98" s="28"/>
      <c r="D98" s="28"/>
      <c r="E98" s="28"/>
      <c r="F98" s="28"/>
      <c r="G98" s="28"/>
      <c r="H98" s="28"/>
      <c r="I98" s="28"/>
      <c r="J98" s="28"/>
      <c r="K98" s="28"/>
      <c r="L98" s="28"/>
      <c r="M98" s="28"/>
      <c r="N98" s="28"/>
      <c r="O98" s="28"/>
      <c r="P98" s="28"/>
      <c r="Q98" s="59"/>
      <c r="R98" s="28"/>
    </row>
    <row r="99" spans="1:18" x14ac:dyDescent="0.25">
      <c r="A99" s="28"/>
      <c r="B99" s="28"/>
      <c r="C99" s="28"/>
      <c r="D99" s="28"/>
      <c r="E99" s="28"/>
      <c r="F99" s="28"/>
      <c r="G99" s="28"/>
      <c r="H99" s="28"/>
      <c r="I99" s="28"/>
      <c r="J99" s="28"/>
      <c r="K99" s="28"/>
      <c r="L99" s="28"/>
      <c r="M99" s="28"/>
      <c r="N99" s="28"/>
      <c r="O99" s="28"/>
      <c r="P99" s="28"/>
      <c r="Q99" s="59"/>
      <c r="R99" s="28"/>
    </row>
    <row r="100" spans="1:18" x14ac:dyDescent="0.25">
      <c r="A100" s="28"/>
      <c r="B100" s="28"/>
      <c r="C100" s="28"/>
      <c r="D100" s="28"/>
      <c r="E100" s="28"/>
      <c r="F100" s="28"/>
      <c r="G100" s="28"/>
      <c r="H100" s="28"/>
      <c r="I100" s="28"/>
      <c r="J100" s="28"/>
      <c r="K100" s="28"/>
      <c r="L100" s="28"/>
      <c r="M100" s="28"/>
      <c r="N100" s="28"/>
      <c r="O100" s="28"/>
      <c r="P100" s="28"/>
      <c r="Q100" s="59"/>
      <c r="R100" s="28"/>
    </row>
  </sheetData>
  <mergeCells count="161">
    <mergeCell ref="F95:I95"/>
    <mergeCell ref="O85:O90"/>
    <mergeCell ref="P85:P90"/>
    <mergeCell ref="Q85:Q90"/>
    <mergeCell ref="D86:J86"/>
    <mergeCell ref="B92:Q92"/>
    <mergeCell ref="B93:Q93"/>
    <mergeCell ref="P79:P84"/>
    <mergeCell ref="Q79:Q84"/>
    <mergeCell ref="D80:J80"/>
    <mergeCell ref="A85:A90"/>
    <mergeCell ref="B85:B90"/>
    <mergeCell ref="C85:C90"/>
    <mergeCell ref="K85:K90"/>
    <mergeCell ref="L85:L90"/>
    <mergeCell ref="M85:M90"/>
    <mergeCell ref="N85:N90"/>
    <mergeCell ref="Q73:Q78"/>
    <mergeCell ref="D74:J74"/>
    <mergeCell ref="A79:A84"/>
    <mergeCell ref="B79:B84"/>
    <mergeCell ref="C79:C84"/>
    <mergeCell ref="K79:K84"/>
    <mergeCell ref="L79:L84"/>
    <mergeCell ref="M79:M84"/>
    <mergeCell ref="N79:N84"/>
    <mergeCell ref="O79:O84"/>
    <mergeCell ref="B72:Q72"/>
    <mergeCell ref="A73:A78"/>
    <mergeCell ref="B73:B78"/>
    <mergeCell ref="C73:C78"/>
    <mergeCell ref="K73:K78"/>
    <mergeCell ref="L73:L78"/>
    <mergeCell ref="M73:M78"/>
    <mergeCell ref="N73:N78"/>
    <mergeCell ref="O73:O78"/>
    <mergeCell ref="P73:P78"/>
    <mergeCell ref="M66:M71"/>
    <mergeCell ref="N66:N71"/>
    <mergeCell ref="O66:O71"/>
    <mergeCell ref="P66:P71"/>
    <mergeCell ref="Q66:Q71"/>
    <mergeCell ref="D67:J67"/>
    <mergeCell ref="N60:N65"/>
    <mergeCell ref="O60:O65"/>
    <mergeCell ref="P60:P65"/>
    <mergeCell ref="Q60:Q65"/>
    <mergeCell ref="D61:J61"/>
    <mergeCell ref="M60:M65"/>
    <mergeCell ref="A66:A71"/>
    <mergeCell ref="B66:B71"/>
    <mergeCell ref="C66:C71"/>
    <mergeCell ref="K66:K71"/>
    <mergeCell ref="L66:L71"/>
    <mergeCell ref="A60:A65"/>
    <mergeCell ref="B60:B65"/>
    <mergeCell ref="C60:C65"/>
    <mergeCell ref="K60:K65"/>
    <mergeCell ref="L60:L65"/>
    <mergeCell ref="O41:O46"/>
    <mergeCell ref="P53:P58"/>
    <mergeCell ref="Q53:Q58"/>
    <mergeCell ref="D54:J54"/>
    <mergeCell ref="B59:Q59"/>
    <mergeCell ref="O47:O52"/>
    <mergeCell ref="P47:P52"/>
    <mergeCell ref="Q47:Q52"/>
    <mergeCell ref="D48:J48"/>
    <mergeCell ref="B47:B52"/>
    <mergeCell ref="C47:C52"/>
    <mergeCell ref="K47:K52"/>
    <mergeCell ref="L47:L52"/>
    <mergeCell ref="M47:M52"/>
    <mergeCell ref="N47:N52"/>
    <mergeCell ref="O53:O58"/>
    <mergeCell ref="P41:P46"/>
    <mergeCell ref="Q41:Q46"/>
    <mergeCell ref="A41:A46"/>
    <mergeCell ref="B41:B46"/>
    <mergeCell ref="C41:C46"/>
    <mergeCell ref="K41:K46"/>
    <mergeCell ref="L41:L46"/>
    <mergeCell ref="M41:M46"/>
    <mergeCell ref="N41:N46"/>
    <mergeCell ref="A53:A58"/>
    <mergeCell ref="B53:B58"/>
    <mergeCell ref="C53:C58"/>
    <mergeCell ref="K53:K58"/>
    <mergeCell ref="L53:L58"/>
    <mergeCell ref="M53:M58"/>
    <mergeCell ref="N53:N58"/>
    <mergeCell ref="D42:J42"/>
    <mergeCell ref="A47:A52"/>
    <mergeCell ref="B34:Q34"/>
    <mergeCell ref="A35:A40"/>
    <mergeCell ref="B35:B40"/>
    <mergeCell ref="C35:C40"/>
    <mergeCell ref="K35:K40"/>
    <mergeCell ref="L35:L40"/>
    <mergeCell ref="M35:M40"/>
    <mergeCell ref="N35:N40"/>
    <mergeCell ref="O35:O40"/>
    <mergeCell ref="P35:P40"/>
    <mergeCell ref="Q35:Q40"/>
    <mergeCell ref="D36:J36"/>
    <mergeCell ref="N16:N21"/>
    <mergeCell ref="O28:O33"/>
    <mergeCell ref="P28:P33"/>
    <mergeCell ref="Q28:Q33"/>
    <mergeCell ref="D29:J29"/>
    <mergeCell ref="N22:N27"/>
    <mergeCell ref="O22:O27"/>
    <mergeCell ref="P22:P27"/>
    <mergeCell ref="Q22:Q27"/>
    <mergeCell ref="D23:J23"/>
    <mergeCell ref="A22:A27"/>
    <mergeCell ref="B22:B27"/>
    <mergeCell ref="C22:C27"/>
    <mergeCell ref="K22:K27"/>
    <mergeCell ref="L22:L27"/>
    <mergeCell ref="M22:M27"/>
    <mergeCell ref="A16:A21"/>
    <mergeCell ref="B16:B21"/>
    <mergeCell ref="C16:C21"/>
    <mergeCell ref="K16:K21"/>
    <mergeCell ref="L16:L21"/>
    <mergeCell ref="M16:M21"/>
    <mergeCell ref="A28:A33"/>
    <mergeCell ref="B28:B33"/>
    <mergeCell ref="C28:C33"/>
    <mergeCell ref="K28:K33"/>
    <mergeCell ref="L28:L33"/>
    <mergeCell ref="M28:M33"/>
    <mergeCell ref="N28:N33"/>
    <mergeCell ref="B8:Q8"/>
    <mergeCell ref="B9:Q9"/>
    <mergeCell ref="A10:A15"/>
    <mergeCell ref="B10:B15"/>
    <mergeCell ref="C10:C15"/>
    <mergeCell ref="K10:K15"/>
    <mergeCell ref="L10:L15"/>
    <mergeCell ref="M10:M15"/>
    <mergeCell ref="N10:N15"/>
    <mergeCell ref="O10:O15"/>
    <mergeCell ref="P10:P15"/>
    <mergeCell ref="Q10:Q15"/>
    <mergeCell ref="D11:J11"/>
    <mergeCell ref="O16:O21"/>
    <mergeCell ref="P16:P21"/>
    <mergeCell ref="Q16:Q21"/>
    <mergeCell ref="D17:J17"/>
    <mergeCell ref="O1:Q1"/>
    <mergeCell ref="J2:Q2"/>
    <mergeCell ref="A3:Q3"/>
    <mergeCell ref="A5:A6"/>
    <mergeCell ref="B5:B6"/>
    <mergeCell ref="C5:C6"/>
    <mergeCell ref="D5:D6"/>
    <mergeCell ref="E5:J5"/>
    <mergeCell ref="K5:P5"/>
    <mergeCell ref="Q5:Q6"/>
  </mergeCells>
  <pageMargins left="0.31496062992125984" right="0.31496062992125984" top="0.74803149606299213" bottom="0.55118110236220474" header="0.31496062992125984" footer="0.31496062992125984"/>
  <pageSetup paperSize="9" scale="70" firstPageNumber="29" fitToHeight="0" orientation="landscape" useFirstPageNumber="1" r:id="rId1"/>
  <rowBreaks count="1" manualBreakCount="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5"/>
  <sheetViews>
    <sheetView view="pageBreakPreview" zoomScaleNormal="100" zoomScaleSheetLayoutView="100" zoomScalePageLayoutView="115" workbookViewId="0">
      <selection activeCell="A10" sqref="A10:B10"/>
    </sheetView>
  </sheetViews>
  <sheetFormatPr defaultRowHeight="15" x14ac:dyDescent="0.25"/>
  <cols>
    <col min="1" max="1" width="3" customWidth="1"/>
    <col min="2" max="2" width="41.7109375" customWidth="1"/>
    <col min="3" max="8" width="11.140625" customWidth="1"/>
  </cols>
  <sheetData>
    <row r="1" spans="1:8" x14ac:dyDescent="0.25">
      <c r="D1" s="214" t="s">
        <v>147</v>
      </c>
      <c r="E1" s="214"/>
      <c r="F1" s="214"/>
      <c r="G1" s="214"/>
      <c r="H1" s="214"/>
    </row>
    <row r="2" spans="1:8" ht="16.5" customHeight="1" x14ac:dyDescent="0.25">
      <c r="A2" s="215" t="s">
        <v>390</v>
      </c>
      <c r="B2" s="215"/>
      <c r="C2" s="215"/>
      <c r="D2" s="215"/>
      <c r="E2" s="215"/>
      <c r="F2" s="215"/>
      <c r="G2" s="215"/>
      <c r="H2" s="215"/>
    </row>
    <row r="3" spans="1:8" ht="52.5" customHeight="1" x14ac:dyDescent="0.25">
      <c r="A3" s="228" t="s">
        <v>372</v>
      </c>
      <c r="B3" s="228"/>
      <c r="C3" s="228"/>
      <c r="D3" s="228"/>
      <c r="E3" s="228"/>
      <c r="F3" s="228"/>
      <c r="G3" s="228"/>
      <c r="H3" s="228"/>
    </row>
    <row r="4" spans="1:8" x14ac:dyDescent="0.25">
      <c r="A4" s="217" t="s">
        <v>116</v>
      </c>
      <c r="B4" s="217"/>
      <c r="C4" s="217"/>
      <c r="D4" s="217"/>
      <c r="E4" s="217"/>
      <c r="F4" s="217"/>
      <c r="G4" s="217"/>
      <c r="H4" s="217"/>
    </row>
    <row r="5" spans="1:8" ht="18.600000000000001" thickBot="1" x14ac:dyDescent="0.35">
      <c r="A5" s="7"/>
    </row>
    <row r="6" spans="1:8" ht="15.75" customHeight="1" x14ac:dyDescent="0.25">
      <c r="A6" s="218" t="s">
        <v>117</v>
      </c>
      <c r="B6" s="219"/>
      <c r="C6" s="123" t="s">
        <v>118</v>
      </c>
      <c r="D6" s="218" t="s">
        <v>119</v>
      </c>
      <c r="E6" s="224"/>
      <c r="F6" s="224"/>
      <c r="G6" s="224"/>
      <c r="H6" s="219"/>
    </row>
    <row r="7" spans="1:8" ht="16.5" customHeight="1" thickBot="1" x14ac:dyDescent="0.3">
      <c r="A7" s="220"/>
      <c r="B7" s="221"/>
      <c r="C7" s="124" t="s">
        <v>25</v>
      </c>
      <c r="D7" s="222" t="s">
        <v>120</v>
      </c>
      <c r="E7" s="225"/>
      <c r="F7" s="225"/>
      <c r="G7" s="225"/>
      <c r="H7" s="223"/>
    </row>
    <row r="8" spans="1:8" ht="16.5" thickBot="1" x14ac:dyDescent="0.3">
      <c r="A8" s="222"/>
      <c r="B8" s="223"/>
      <c r="C8" s="10"/>
      <c r="D8" s="125" t="s">
        <v>164</v>
      </c>
      <c r="E8" s="125" t="s">
        <v>165</v>
      </c>
      <c r="F8" s="125" t="s">
        <v>166</v>
      </c>
      <c r="G8" s="125" t="s">
        <v>167</v>
      </c>
      <c r="H8" s="125" t="s">
        <v>168</v>
      </c>
    </row>
    <row r="9" spans="1:8" ht="16.149999999999999" thickBot="1" x14ac:dyDescent="0.35">
      <c r="A9" s="229">
        <v>1</v>
      </c>
      <c r="B9" s="230"/>
      <c r="C9" s="125">
        <v>2</v>
      </c>
      <c r="D9" s="125">
        <v>3</v>
      </c>
      <c r="E9" s="125">
        <v>4</v>
      </c>
      <c r="F9" s="125">
        <v>5</v>
      </c>
      <c r="G9" s="125">
        <v>6</v>
      </c>
      <c r="H9" s="125">
        <v>7</v>
      </c>
    </row>
    <row r="10" spans="1:8" ht="57" customHeight="1" thickBot="1" x14ac:dyDescent="0.3">
      <c r="A10" s="231" t="s">
        <v>373</v>
      </c>
      <c r="B10" s="232"/>
      <c r="C10" s="33">
        <f>SUM(D10:H10)</f>
        <v>4817</v>
      </c>
      <c r="D10" s="33">
        <f>SUM(D12:D15)</f>
        <v>1012.5</v>
      </c>
      <c r="E10" s="33">
        <f t="shared" ref="E10:H10" si="0">SUM(E12:E15)</f>
        <v>981.5</v>
      </c>
      <c r="F10" s="33">
        <f t="shared" si="0"/>
        <v>981.5</v>
      </c>
      <c r="G10" s="33">
        <f t="shared" si="0"/>
        <v>981.5</v>
      </c>
      <c r="H10" s="33">
        <f t="shared" si="0"/>
        <v>860</v>
      </c>
    </row>
    <row r="11" spans="1:8" ht="16.5" thickBot="1" x14ac:dyDescent="0.3">
      <c r="A11" s="12"/>
      <c r="B11" s="13" t="s">
        <v>122</v>
      </c>
      <c r="C11" s="33"/>
      <c r="D11" s="33"/>
      <c r="E11" s="33"/>
      <c r="F11" s="33"/>
      <c r="G11" s="33"/>
      <c r="H11" s="33"/>
    </row>
    <row r="12" spans="1:8" ht="32.25" thickBot="1" x14ac:dyDescent="0.3">
      <c r="A12" s="14"/>
      <c r="B12" s="15" t="s">
        <v>123</v>
      </c>
      <c r="C12" s="36">
        <f>SUM(D12:H12)</f>
        <v>4817</v>
      </c>
      <c r="D12" s="36">
        <f>'ПОМ ПП 3'!F87</f>
        <v>1012.5</v>
      </c>
      <c r="E12" s="36">
        <f>'ПОМ ПП 3'!G87</f>
        <v>981.5</v>
      </c>
      <c r="F12" s="36">
        <f>'ПОМ ПП 3'!H87</f>
        <v>981.5</v>
      </c>
      <c r="G12" s="36">
        <f>'ПОМ ПП 3'!I87</f>
        <v>981.5</v>
      </c>
      <c r="H12" s="36">
        <f>'ПОМ ПП 3'!J87</f>
        <v>860</v>
      </c>
    </row>
    <row r="13" spans="1:8" ht="16.5" thickBot="1" x14ac:dyDescent="0.3">
      <c r="A13" s="16"/>
      <c r="B13" s="16" t="s">
        <v>124</v>
      </c>
      <c r="C13" s="36">
        <f t="shared" ref="C13:C15" si="1">SUM(D13:H13)</f>
        <v>0</v>
      </c>
      <c r="D13" s="36">
        <f>'ПОМ ПП 3'!F88</f>
        <v>0</v>
      </c>
      <c r="E13" s="36">
        <f>'ПОМ ПП 3'!G88</f>
        <v>0</v>
      </c>
      <c r="F13" s="36">
        <f>'ПОМ ПП 3'!H88</f>
        <v>0</v>
      </c>
      <c r="G13" s="36">
        <f>'ПОМ ПП 3'!I88</f>
        <v>0</v>
      </c>
      <c r="H13" s="36">
        <f>'ПОМ ПП 3'!J88</f>
        <v>0</v>
      </c>
    </row>
    <row r="14" spans="1:8" ht="16.5" thickBot="1" x14ac:dyDescent="0.3">
      <c r="A14" s="16"/>
      <c r="B14" s="13" t="s">
        <v>125</v>
      </c>
      <c r="C14" s="36">
        <f t="shared" si="1"/>
        <v>0</v>
      </c>
      <c r="D14" s="36">
        <f>'ПОМ ПП 3'!F89</f>
        <v>0</v>
      </c>
      <c r="E14" s="36">
        <f>'ПОМ ПП 3'!G89</f>
        <v>0</v>
      </c>
      <c r="F14" s="36">
        <f>'ПОМ ПП 3'!H89</f>
        <v>0</v>
      </c>
      <c r="G14" s="36">
        <f>'ПОМ ПП 3'!I89</f>
        <v>0</v>
      </c>
      <c r="H14" s="36">
        <f>'ПОМ ПП 3'!J89</f>
        <v>0</v>
      </c>
    </row>
    <row r="15" spans="1:8" ht="16.5" thickBot="1" x14ac:dyDescent="0.3">
      <c r="A15" s="17"/>
      <c r="B15" s="13" t="s">
        <v>126</v>
      </c>
      <c r="C15" s="30">
        <f t="shared" si="1"/>
        <v>0</v>
      </c>
      <c r="D15" s="30">
        <f>'ПОМ ПП 3'!F90</f>
        <v>0</v>
      </c>
      <c r="E15" s="30">
        <f>'ПОМ ПП 3'!G90</f>
        <v>0</v>
      </c>
      <c r="F15" s="30">
        <f>'ПОМ ПП 3'!H90</f>
        <v>0</v>
      </c>
      <c r="G15" s="30">
        <f>'ПОМ ПП 3'!I90</f>
        <v>0</v>
      </c>
      <c r="H15" s="30">
        <f>'ПОМ ПП 3'!J90</f>
        <v>0</v>
      </c>
    </row>
    <row r="16" spans="1:8" s="135" customFormat="1" ht="16.5" thickBot="1" x14ac:dyDescent="0.3">
      <c r="A16" s="138"/>
      <c r="B16" s="133" t="s">
        <v>127</v>
      </c>
      <c r="C16" s="134">
        <f>SUM(D16:H16)</f>
        <v>4817</v>
      </c>
      <c r="D16" s="134">
        <f>D12</f>
        <v>1012.5</v>
      </c>
      <c r="E16" s="134">
        <f t="shared" ref="E16:F16" si="2">E12</f>
        <v>981.5</v>
      </c>
      <c r="F16" s="134">
        <f t="shared" si="2"/>
        <v>981.5</v>
      </c>
      <c r="G16" s="134">
        <f>G12</f>
        <v>981.5</v>
      </c>
      <c r="H16" s="134">
        <f t="shared" ref="H16" si="3">H12</f>
        <v>860</v>
      </c>
    </row>
    <row r="17" spans="1:8" ht="39.75" customHeight="1" thickBot="1" x14ac:dyDescent="0.3">
      <c r="A17" s="14"/>
      <c r="B17" s="13" t="s">
        <v>374</v>
      </c>
      <c r="C17" s="33">
        <f t="shared" ref="C17:C46" si="4">SUM(D17:H17)</f>
        <v>100</v>
      </c>
      <c r="D17" s="33">
        <f>SUM(D18:D21)</f>
        <v>20</v>
      </c>
      <c r="E17" s="33">
        <f t="shared" ref="E17:H17" si="5">SUM(E18:E21)</f>
        <v>20</v>
      </c>
      <c r="F17" s="33">
        <f t="shared" si="5"/>
        <v>20</v>
      </c>
      <c r="G17" s="33">
        <f t="shared" si="5"/>
        <v>20</v>
      </c>
      <c r="H17" s="33">
        <f t="shared" si="5"/>
        <v>20</v>
      </c>
    </row>
    <row r="18" spans="1:8" ht="32.25" thickBot="1" x14ac:dyDescent="0.3">
      <c r="A18" s="14"/>
      <c r="B18" s="15" t="s">
        <v>129</v>
      </c>
      <c r="C18" s="33">
        <f t="shared" si="4"/>
        <v>100</v>
      </c>
      <c r="D18" s="30">
        <v>20</v>
      </c>
      <c r="E18" s="30">
        <v>20</v>
      </c>
      <c r="F18" s="30">
        <v>20</v>
      </c>
      <c r="G18" s="30">
        <v>20</v>
      </c>
      <c r="H18" s="30">
        <v>20</v>
      </c>
    </row>
    <row r="19" spans="1:8" ht="16.5" thickBot="1" x14ac:dyDescent="0.3">
      <c r="A19" s="16"/>
      <c r="B19" s="16" t="s">
        <v>124</v>
      </c>
      <c r="C19" s="33">
        <f t="shared" si="4"/>
        <v>0</v>
      </c>
      <c r="D19" s="31"/>
      <c r="E19" s="31"/>
      <c r="F19" s="31"/>
      <c r="G19" s="31"/>
      <c r="H19" s="31"/>
    </row>
    <row r="20" spans="1:8" ht="16.5" thickBot="1" x14ac:dyDescent="0.3">
      <c r="A20" s="16"/>
      <c r="B20" s="13" t="s">
        <v>130</v>
      </c>
      <c r="C20" s="33">
        <f t="shared" si="4"/>
        <v>0</v>
      </c>
      <c r="D20" s="33"/>
      <c r="E20" s="33"/>
      <c r="F20" s="33"/>
      <c r="G20" s="33"/>
      <c r="H20" s="33"/>
    </row>
    <row r="21" spans="1:8" ht="16.5" thickBot="1" x14ac:dyDescent="0.3">
      <c r="A21" s="16"/>
      <c r="B21" s="13" t="s">
        <v>131</v>
      </c>
      <c r="C21" s="33">
        <f t="shared" si="4"/>
        <v>0</v>
      </c>
      <c r="D21" s="33"/>
      <c r="E21" s="33"/>
      <c r="F21" s="33"/>
      <c r="G21" s="33"/>
      <c r="H21" s="33"/>
    </row>
    <row r="22" spans="1:8" s="135" customFormat="1" ht="16.5" thickBot="1" x14ac:dyDescent="0.3">
      <c r="A22" s="132"/>
      <c r="B22" s="133" t="s">
        <v>132</v>
      </c>
      <c r="C22" s="134">
        <f t="shared" si="4"/>
        <v>0</v>
      </c>
      <c r="D22" s="134"/>
      <c r="E22" s="134"/>
      <c r="F22" s="134"/>
      <c r="G22" s="134"/>
      <c r="H22" s="134"/>
    </row>
    <row r="23" spans="1:8" s="135" customFormat="1" ht="48" thickBot="1" x14ac:dyDescent="0.3">
      <c r="A23" s="132"/>
      <c r="B23" s="139" t="s">
        <v>375</v>
      </c>
      <c r="C23" s="134">
        <f t="shared" si="4"/>
        <v>90</v>
      </c>
      <c r="D23" s="134">
        <f>SUM(D24:D27)</f>
        <v>18</v>
      </c>
      <c r="E23" s="134">
        <f t="shared" ref="E23:H23" si="6">SUM(E24:E27)</f>
        <v>18</v>
      </c>
      <c r="F23" s="134">
        <f t="shared" si="6"/>
        <v>18</v>
      </c>
      <c r="G23" s="134">
        <f t="shared" si="6"/>
        <v>18</v>
      </c>
      <c r="H23" s="134">
        <f t="shared" si="6"/>
        <v>18</v>
      </c>
    </row>
    <row r="24" spans="1:8" s="135" customFormat="1" ht="32.25" thickBot="1" x14ac:dyDescent="0.3">
      <c r="A24" s="132"/>
      <c r="B24" s="132" t="s">
        <v>129</v>
      </c>
      <c r="C24" s="134">
        <f t="shared" si="4"/>
        <v>90</v>
      </c>
      <c r="D24" s="37">
        <v>18</v>
      </c>
      <c r="E24" s="37">
        <v>18</v>
      </c>
      <c r="F24" s="37">
        <v>18</v>
      </c>
      <c r="G24" s="37">
        <v>18</v>
      </c>
      <c r="H24" s="37">
        <v>18</v>
      </c>
    </row>
    <row r="25" spans="1:8" ht="16.5" thickBot="1" x14ac:dyDescent="0.3">
      <c r="A25" s="16"/>
      <c r="B25" s="13" t="s">
        <v>124</v>
      </c>
      <c r="C25" s="33">
        <f t="shared" si="4"/>
        <v>0</v>
      </c>
      <c r="D25" s="31"/>
      <c r="E25" s="31"/>
      <c r="F25" s="31"/>
      <c r="G25" s="31"/>
      <c r="H25" s="31"/>
    </row>
    <row r="26" spans="1:8" ht="16.5" thickBot="1" x14ac:dyDescent="0.3">
      <c r="A26" s="16"/>
      <c r="B26" s="13" t="s">
        <v>130</v>
      </c>
      <c r="C26" s="33">
        <f t="shared" si="4"/>
        <v>0</v>
      </c>
      <c r="D26" s="33"/>
      <c r="E26" s="33"/>
      <c r="F26" s="33"/>
      <c r="G26" s="33"/>
      <c r="H26" s="33"/>
    </row>
    <row r="27" spans="1:8" ht="16.5" thickBot="1" x14ac:dyDescent="0.3">
      <c r="A27" s="16"/>
      <c r="B27" s="13" t="s">
        <v>131</v>
      </c>
      <c r="C27" s="33">
        <f t="shared" si="4"/>
        <v>0</v>
      </c>
      <c r="D27" s="33"/>
      <c r="E27" s="33"/>
      <c r="F27" s="33"/>
      <c r="G27" s="33"/>
      <c r="H27" s="33"/>
    </row>
    <row r="28" spans="1:8" ht="16.5" thickBot="1" x14ac:dyDescent="0.3">
      <c r="A28" s="16"/>
      <c r="B28" s="13" t="s">
        <v>134</v>
      </c>
      <c r="C28" s="33">
        <f t="shared" si="4"/>
        <v>0</v>
      </c>
      <c r="D28" s="33"/>
      <c r="E28" s="33"/>
      <c r="F28" s="33"/>
      <c r="G28" s="33"/>
      <c r="H28" s="33"/>
    </row>
    <row r="29" spans="1:8" ht="32.25" thickBot="1" x14ac:dyDescent="0.3">
      <c r="A29" s="14"/>
      <c r="B29" s="13" t="s">
        <v>376</v>
      </c>
      <c r="C29" s="33">
        <f t="shared" si="4"/>
        <v>200</v>
      </c>
      <c r="D29" s="33">
        <f>SUM(D30:D33)</f>
        <v>40</v>
      </c>
      <c r="E29" s="33">
        <f t="shared" ref="E29:H29" si="7">SUM(E30:E33)</f>
        <v>40</v>
      </c>
      <c r="F29" s="33">
        <f t="shared" si="7"/>
        <v>40</v>
      </c>
      <c r="G29" s="33">
        <f t="shared" si="7"/>
        <v>40</v>
      </c>
      <c r="H29" s="33">
        <f t="shared" si="7"/>
        <v>40</v>
      </c>
    </row>
    <row r="30" spans="1:8" ht="32.25" thickBot="1" x14ac:dyDescent="0.3">
      <c r="A30" s="14"/>
      <c r="B30" s="15" t="s">
        <v>129</v>
      </c>
      <c r="C30" s="33">
        <f t="shared" si="4"/>
        <v>200</v>
      </c>
      <c r="D30" s="30">
        <v>40</v>
      </c>
      <c r="E30" s="30">
        <v>40</v>
      </c>
      <c r="F30" s="30">
        <v>40</v>
      </c>
      <c r="G30" s="30">
        <v>40</v>
      </c>
      <c r="H30" s="30">
        <v>40</v>
      </c>
    </row>
    <row r="31" spans="1:8" ht="16.5" thickBot="1" x14ac:dyDescent="0.3">
      <c r="A31" s="16"/>
      <c r="B31" s="16" t="s">
        <v>124</v>
      </c>
      <c r="C31" s="33">
        <f t="shared" si="4"/>
        <v>0</v>
      </c>
      <c r="D31" s="31"/>
      <c r="E31" s="31"/>
      <c r="F31" s="31"/>
      <c r="G31" s="31"/>
      <c r="H31" s="31"/>
    </row>
    <row r="32" spans="1:8" ht="16.5" thickBot="1" x14ac:dyDescent="0.3">
      <c r="A32" s="16"/>
      <c r="B32" s="13" t="s">
        <v>130</v>
      </c>
      <c r="C32" s="33">
        <f t="shared" si="4"/>
        <v>0</v>
      </c>
      <c r="D32" s="33"/>
      <c r="E32" s="33"/>
      <c r="F32" s="33"/>
      <c r="G32" s="33"/>
      <c r="H32" s="33"/>
    </row>
    <row r="33" spans="1:8" ht="16.5" thickBot="1" x14ac:dyDescent="0.3">
      <c r="A33" s="16"/>
      <c r="B33" s="13" t="s">
        <v>131</v>
      </c>
      <c r="C33" s="33">
        <f t="shared" si="4"/>
        <v>0</v>
      </c>
      <c r="D33" s="33"/>
      <c r="E33" s="33"/>
      <c r="F33" s="33"/>
      <c r="G33" s="33"/>
      <c r="H33" s="33"/>
    </row>
    <row r="34" spans="1:8" s="135" customFormat="1" ht="16.5" thickBot="1" x14ac:dyDescent="0.3">
      <c r="A34" s="132"/>
      <c r="B34" s="133" t="s">
        <v>132</v>
      </c>
      <c r="C34" s="134">
        <f t="shared" si="4"/>
        <v>0</v>
      </c>
      <c r="D34" s="134"/>
      <c r="E34" s="134"/>
      <c r="F34" s="134"/>
      <c r="G34" s="134"/>
      <c r="H34" s="134"/>
    </row>
    <row r="35" spans="1:8" ht="48" thickBot="1" x14ac:dyDescent="0.3">
      <c r="A35" s="16"/>
      <c r="B35" s="13" t="s">
        <v>377</v>
      </c>
      <c r="C35" s="33">
        <f t="shared" si="4"/>
        <v>250</v>
      </c>
      <c r="D35" s="33">
        <f>SUM(D36:D39)</f>
        <v>50</v>
      </c>
      <c r="E35" s="33">
        <f t="shared" ref="E35:H35" si="8">SUM(E36:E39)</f>
        <v>50</v>
      </c>
      <c r="F35" s="33">
        <f t="shared" si="8"/>
        <v>50</v>
      </c>
      <c r="G35" s="33">
        <f t="shared" si="8"/>
        <v>50</v>
      </c>
      <c r="H35" s="33">
        <f t="shared" si="8"/>
        <v>50</v>
      </c>
    </row>
    <row r="36" spans="1:8" ht="32.25" thickBot="1" x14ac:dyDescent="0.3">
      <c r="A36" s="16"/>
      <c r="B36" s="16" t="s">
        <v>129</v>
      </c>
      <c r="C36" s="33">
        <f t="shared" si="4"/>
        <v>250</v>
      </c>
      <c r="D36" s="30">
        <v>50</v>
      </c>
      <c r="E36" s="30">
        <v>50</v>
      </c>
      <c r="F36" s="30">
        <v>50</v>
      </c>
      <c r="G36" s="30">
        <v>50</v>
      </c>
      <c r="H36" s="30">
        <v>50</v>
      </c>
    </row>
    <row r="37" spans="1:8" ht="16.5" thickBot="1" x14ac:dyDescent="0.3">
      <c r="A37" s="16"/>
      <c r="B37" s="13" t="s">
        <v>124</v>
      </c>
      <c r="C37" s="33">
        <f t="shared" si="4"/>
        <v>0</v>
      </c>
      <c r="D37" s="31"/>
      <c r="E37" s="31"/>
      <c r="F37" s="31"/>
      <c r="G37" s="31"/>
      <c r="H37" s="31"/>
    </row>
    <row r="38" spans="1:8" ht="16.5" thickBot="1" x14ac:dyDescent="0.3">
      <c r="A38" s="16"/>
      <c r="B38" s="13" t="s">
        <v>130</v>
      </c>
      <c r="C38" s="33">
        <f t="shared" si="4"/>
        <v>0</v>
      </c>
      <c r="D38" s="33"/>
      <c r="E38" s="33"/>
      <c r="F38" s="33"/>
      <c r="G38" s="33"/>
      <c r="H38" s="33"/>
    </row>
    <row r="39" spans="1:8" ht="16.5" thickBot="1" x14ac:dyDescent="0.3">
      <c r="A39" s="16"/>
      <c r="B39" s="13" t="s">
        <v>131</v>
      </c>
      <c r="C39" s="33">
        <f t="shared" si="4"/>
        <v>0</v>
      </c>
      <c r="D39" s="33"/>
      <c r="E39" s="33"/>
      <c r="F39" s="33"/>
      <c r="G39" s="33"/>
      <c r="H39" s="33"/>
    </row>
    <row r="40" spans="1:8" ht="16.5" thickBot="1" x14ac:dyDescent="0.3">
      <c r="A40" s="16"/>
      <c r="B40" s="13" t="s">
        <v>134</v>
      </c>
      <c r="C40" s="33">
        <f t="shared" si="4"/>
        <v>0</v>
      </c>
      <c r="D40" s="33"/>
      <c r="E40" s="33"/>
      <c r="F40" s="33"/>
      <c r="G40" s="33"/>
      <c r="H40" s="33"/>
    </row>
    <row r="41" spans="1:8" ht="32.25" thickBot="1" x14ac:dyDescent="0.3">
      <c r="A41" s="14"/>
      <c r="B41" s="13" t="s">
        <v>378</v>
      </c>
      <c r="C41" s="33">
        <f t="shared" si="4"/>
        <v>4177</v>
      </c>
      <c r="D41" s="33">
        <f>SUM(D42:D45)</f>
        <v>884.5</v>
      </c>
      <c r="E41" s="33">
        <f t="shared" ref="E41:H41" si="9">SUM(E42:E45)</f>
        <v>853.5</v>
      </c>
      <c r="F41" s="33">
        <f t="shared" si="9"/>
        <v>853.5</v>
      </c>
      <c r="G41" s="33">
        <f t="shared" si="9"/>
        <v>853.5</v>
      </c>
      <c r="H41" s="33">
        <f t="shared" si="9"/>
        <v>732</v>
      </c>
    </row>
    <row r="42" spans="1:8" ht="32.25" thickBot="1" x14ac:dyDescent="0.3">
      <c r="A42" s="14"/>
      <c r="B42" s="15" t="s">
        <v>129</v>
      </c>
      <c r="C42" s="33">
        <f t="shared" si="4"/>
        <v>4177</v>
      </c>
      <c r="D42" s="30">
        <f>D12-D18-D24-D30-D36</f>
        <v>884.5</v>
      </c>
      <c r="E42" s="30">
        <f t="shared" ref="E42:H42" si="10">E12-E18-E24-E30-E36</f>
        <v>853.5</v>
      </c>
      <c r="F42" s="30">
        <f t="shared" si="10"/>
        <v>853.5</v>
      </c>
      <c r="G42" s="30">
        <f t="shared" si="10"/>
        <v>853.5</v>
      </c>
      <c r="H42" s="30">
        <f t="shared" si="10"/>
        <v>732</v>
      </c>
    </row>
    <row r="43" spans="1:8" ht="16.5" thickBot="1" x14ac:dyDescent="0.3">
      <c r="A43" s="16"/>
      <c r="B43" s="16" t="s">
        <v>124</v>
      </c>
      <c r="C43" s="33">
        <f t="shared" si="4"/>
        <v>0</v>
      </c>
      <c r="D43" s="31"/>
      <c r="E43" s="31"/>
      <c r="F43" s="31"/>
      <c r="G43" s="31"/>
      <c r="H43" s="31"/>
    </row>
    <row r="44" spans="1:8" ht="16.5" thickBot="1" x14ac:dyDescent="0.3">
      <c r="A44" s="16"/>
      <c r="B44" s="13" t="s">
        <v>130</v>
      </c>
      <c r="C44" s="33">
        <f t="shared" si="4"/>
        <v>0</v>
      </c>
      <c r="D44" s="33"/>
      <c r="E44" s="33"/>
      <c r="F44" s="33"/>
      <c r="G44" s="33"/>
      <c r="H44" s="33"/>
    </row>
    <row r="45" spans="1:8" ht="16.5" thickBot="1" x14ac:dyDescent="0.3">
      <c r="A45" s="16"/>
      <c r="B45" s="13" t="s">
        <v>131</v>
      </c>
      <c r="C45" s="33">
        <f t="shared" si="4"/>
        <v>0</v>
      </c>
      <c r="D45" s="33"/>
      <c r="E45" s="33"/>
      <c r="F45" s="33"/>
      <c r="G45" s="33"/>
      <c r="H45" s="33"/>
    </row>
    <row r="46" spans="1:8" s="135" customFormat="1" ht="16.5" thickBot="1" x14ac:dyDescent="0.3">
      <c r="A46" s="132"/>
      <c r="B46" s="133" t="s">
        <v>132</v>
      </c>
      <c r="C46" s="134">
        <f t="shared" si="4"/>
        <v>0</v>
      </c>
      <c r="D46" s="134"/>
      <c r="E46" s="134"/>
      <c r="F46" s="134"/>
      <c r="G46" s="134"/>
      <c r="H46" s="134"/>
    </row>
    <row r="47" spans="1:8" ht="18.75" x14ac:dyDescent="0.25">
      <c r="A47" s="22"/>
    </row>
    <row r="50" spans="1:8" x14ac:dyDescent="0.25">
      <c r="A50" s="233" t="s">
        <v>138</v>
      </c>
      <c r="B50" s="233"/>
      <c r="C50" s="233"/>
      <c r="D50" s="233"/>
      <c r="E50" s="233"/>
      <c r="F50" s="233"/>
      <c r="G50" s="233"/>
      <c r="H50" s="233"/>
    </row>
    <row r="51" spans="1:8" x14ac:dyDescent="0.25">
      <c r="A51" s="233" t="s">
        <v>139</v>
      </c>
      <c r="B51" s="233"/>
      <c r="C51" s="233"/>
      <c r="D51" s="233"/>
      <c r="E51" s="233"/>
      <c r="F51" s="233"/>
      <c r="G51" s="233"/>
      <c r="H51" s="233"/>
    </row>
    <row r="52" spans="1:8" x14ac:dyDescent="0.25">
      <c r="A52" s="233" t="s">
        <v>140</v>
      </c>
      <c r="B52" s="233"/>
      <c r="C52" s="233"/>
      <c r="D52" s="233"/>
      <c r="E52" s="233"/>
      <c r="F52" s="233"/>
      <c r="G52" s="233"/>
      <c r="H52" s="233"/>
    </row>
    <row r="53" spans="1:8" ht="30.75" customHeight="1" x14ac:dyDescent="0.25"/>
    <row r="54" spans="1:8" ht="15" customHeight="1" x14ac:dyDescent="0.25"/>
    <row r="55" spans="1:8" ht="66.75" customHeight="1" x14ac:dyDescent="0.25"/>
  </sheetData>
  <mergeCells count="12">
    <mergeCell ref="A9:B9"/>
    <mergeCell ref="A10:B10"/>
    <mergeCell ref="A50:H50"/>
    <mergeCell ref="A51:H51"/>
    <mergeCell ref="A52:H52"/>
    <mergeCell ref="D1:H1"/>
    <mergeCell ref="A2:H2"/>
    <mergeCell ref="A3:H3"/>
    <mergeCell ref="A4:H4"/>
    <mergeCell ref="A6:B8"/>
    <mergeCell ref="D6:H6"/>
    <mergeCell ref="D7:H7"/>
  </mergeCells>
  <hyperlinks>
    <hyperlink ref="A4" location="_ftn1" display="_ftn1"/>
    <hyperlink ref="B16" location="_ftn2" display="_ftn2"/>
    <hyperlink ref="B22" location="_ftn3" display="_ftn3"/>
    <hyperlink ref="A50" location="_ftnref1" display="_ftnref1"/>
    <hyperlink ref="A51" location="_ftnref2" display="_ftnref2"/>
    <hyperlink ref="A52" location="_ftnref3" display="_ftnref3"/>
    <hyperlink ref="B34" location="_ftn3" display="_ftn3"/>
    <hyperlink ref="B46" location="_ftn3" display="_ftn3"/>
  </hyperlinks>
  <pageMargins left="0.70866141732283472" right="0.70866141732283472" top="0.35433070866141736" bottom="0.35433070866141736" header="0.31496062992125984" footer="0.31496062992125984"/>
  <pageSetup paperSize="9" scale="78" firstPageNumber="32" fitToHeight="0" orientation="portrait" useFirstPageNumber="1" r:id="rId1"/>
  <rowBreaks count="1" manualBreakCount="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9"/>
  <sheetViews>
    <sheetView view="pageBreakPreview" zoomScaleNormal="100" zoomScaleSheetLayoutView="100" zoomScalePageLayoutView="85" workbookViewId="0">
      <selection activeCell="D16" sqref="D16"/>
    </sheetView>
  </sheetViews>
  <sheetFormatPr defaultColWidth="9.140625" defaultRowHeight="15" x14ac:dyDescent="0.25"/>
  <cols>
    <col min="1" max="1" width="4.140625" style="29" customWidth="1"/>
    <col min="2" max="2" width="31" style="29" customWidth="1"/>
    <col min="3" max="3" width="10.5703125" style="29" customWidth="1"/>
    <col min="4" max="4" width="14.28515625" style="29" customWidth="1"/>
    <col min="5" max="10" width="8.85546875" style="29" customWidth="1"/>
    <col min="11" max="11" width="14.140625" style="29" customWidth="1"/>
    <col min="12" max="16" width="8.85546875" style="29" customWidth="1"/>
    <col min="17" max="17" width="24" style="62" customWidth="1"/>
    <col min="18" max="16384" width="9.140625" style="29"/>
  </cols>
  <sheetData>
    <row r="1" spans="1:19" x14ac:dyDescent="0.25">
      <c r="A1" s="28"/>
      <c r="B1" s="28"/>
      <c r="C1" s="28"/>
      <c r="D1" s="28"/>
      <c r="E1" s="28"/>
      <c r="F1" s="28"/>
      <c r="G1" s="28"/>
      <c r="H1" s="28"/>
      <c r="I1" s="28"/>
      <c r="J1" s="28"/>
      <c r="K1" s="28"/>
      <c r="L1" s="28"/>
      <c r="M1" s="28"/>
      <c r="N1" s="28"/>
      <c r="O1" s="200" t="s">
        <v>114</v>
      </c>
      <c r="P1" s="200"/>
      <c r="Q1" s="200"/>
      <c r="R1" s="28"/>
    </row>
    <row r="2" spans="1:19" x14ac:dyDescent="0.25">
      <c r="A2" s="28"/>
      <c r="B2" s="28"/>
      <c r="C2" s="28"/>
      <c r="D2" s="28"/>
      <c r="E2" s="28"/>
      <c r="F2" s="28"/>
      <c r="G2" s="28"/>
      <c r="H2" s="28"/>
      <c r="I2" s="28"/>
      <c r="J2" s="200" t="s">
        <v>388</v>
      </c>
      <c r="K2" s="201"/>
      <c r="L2" s="201"/>
      <c r="M2" s="201"/>
      <c r="N2" s="201"/>
      <c r="O2" s="201"/>
      <c r="P2" s="201"/>
      <c r="Q2" s="201"/>
      <c r="R2" s="28"/>
    </row>
    <row r="3" spans="1:19" x14ac:dyDescent="0.25">
      <c r="A3" s="193" t="s">
        <v>331</v>
      </c>
      <c r="B3" s="193"/>
      <c r="C3" s="193"/>
      <c r="D3" s="193"/>
      <c r="E3" s="193"/>
      <c r="F3" s="193"/>
      <c r="G3" s="193"/>
      <c r="H3" s="193"/>
      <c r="I3" s="193"/>
      <c r="J3" s="193"/>
      <c r="K3" s="193"/>
      <c r="L3" s="193"/>
      <c r="M3" s="193"/>
      <c r="N3" s="193"/>
      <c r="O3" s="193"/>
      <c r="P3" s="193"/>
      <c r="Q3" s="193"/>
      <c r="R3" s="28"/>
    </row>
    <row r="4" spans="1:19" ht="14.45" x14ac:dyDescent="0.3">
      <c r="A4" s="28"/>
      <c r="B4" s="28"/>
      <c r="C4" s="28"/>
      <c r="D4" s="28"/>
      <c r="E4" s="28"/>
      <c r="F4" s="28"/>
      <c r="G4" s="28"/>
      <c r="H4" s="28"/>
      <c r="I4" s="28"/>
      <c r="J4" s="28"/>
      <c r="K4" s="28"/>
      <c r="L4" s="28"/>
      <c r="M4" s="28"/>
      <c r="N4" s="28"/>
      <c r="O4" s="28"/>
      <c r="P4" s="28"/>
      <c r="Q4" s="59"/>
      <c r="R4" s="28"/>
    </row>
    <row r="5" spans="1:19" ht="27.75" customHeight="1" x14ac:dyDescent="0.25">
      <c r="A5" s="164" t="s">
        <v>0</v>
      </c>
      <c r="B5" s="164" t="s">
        <v>1</v>
      </c>
      <c r="C5" s="164" t="s">
        <v>2</v>
      </c>
      <c r="D5" s="164" t="s">
        <v>143</v>
      </c>
      <c r="E5" s="165" t="s">
        <v>3</v>
      </c>
      <c r="F5" s="165"/>
      <c r="G5" s="165"/>
      <c r="H5" s="165"/>
      <c r="I5" s="165"/>
      <c r="J5" s="165"/>
      <c r="K5" s="164" t="s">
        <v>5</v>
      </c>
      <c r="L5" s="164"/>
      <c r="M5" s="164"/>
      <c r="N5" s="164"/>
      <c r="O5" s="164"/>
      <c r="P5" s="164"/>
      <c r="Q5" s="164" t="s">
        <v>144</v>
      </c>
      <c r="R5" s="28"/>
    </row>
    <row r="6" spans="1:19" ht="42" customHeight="1" x14ac:dyDescent="0.25">
      <c r="A6" s="164"/>
      <c r="B6" s="164"/>
      <c r="C6" s="164"/>
      <c r="D6" s="164"/>
      <c r="E6" s="122" t="s">
        <v>4</v>
      </c>
      <c r="F6" s="122" t="s">
        <v>164</v>
      </c>
      <c r="G6" s="122" t="s">
        <v>165</v>
      </c>
      <c r="H6" s="122" t="s">
        <v>166</v>
      </c>
      <c r="I6" s="122" t="s">
        <v>167</v>
      </c>
      <c r="J6" s="122" t="s">
        <v>168</v>
      </c>
      <c r="K6" s="121" t="s">
        <v>6</v>
      </c>
      <c r="L6" s="122" t="s">
        <v>164</v>
      </c>
      <c r="M6" s="122" t="s">
        <v>165</v>
      </c>
      <c r="N6" s="122" t="s">
        <v>166</v>
      </c>
      <c r="O6" s="122" t="s">
        <v>167</v>
      </c>
      <c r="P6" s="122" t="s">
        <v>168</v>
      </c>
      <c r="Q6" s="164"/>
      <c r="R6" s="52"/>
      <c r="S6" s="60"/>
    </row>
    <row r="7" spans="1:19" ht="14.45" x14ac:dyDescent="0.3">
      <c r="A7" s="126">
        <v>1</v>
      </c>
      <c r="B7" s="126">
        <v>2</v>
      </c>
      <c r="C7" s="126">
        <v>3</v>
      </c>
      <c r="D7" s="126">
        <v>4</v>
      </c>
      <c r="E7" s="126">
        <v>5</v>
      </c>
      <c r="F7" s="126">
        <v>6</v>
      </c>
      <c r="G7" s="126">
        <v>7</v>
      </c>
      <c r="H7" s="126">
        <v>8</v>
      </c>
      <c r="I7" s="126">
        <v>9</v>
      </c>
      <c r="J7" s="126">
        <v>10</v>
      </c>
      <c r="K7" s="126">
        <v>11</v>
      </c>
      <c r="L7" s="126">
        <v>12</v>
      </c>
      <c r="M7" s="126">
        <v>13</v>
      </c>
      <c r="N7" s="126">
        <v>14</v>
      </c>
      <c r="O7" s="126">
        <v>15</v>
      </c>
      <c r="P7" s="126">
        <v>16</v>
      </c>
      <c r="Q7" s="126">
        <v>17</v>
      </c>
      <c r="R7" s="28"/>
    </row>
    <row r="8" spans="1:19" x14ac:dyDescent="0.25">
      <c r="A8" s="126"/>
      <c r="B8" s="190" t="s">
        <v>332</v>
      </c>
      <c r="C8" s="190"/>
      <c r="D8" s="190"/>
      <c r="E8" s="190"/>
      <c r="F8" s="190"/>
      <c r="G8" s="190"/>
      <c r="H8" s="190"/>
      <c r="I8" s="190"/>
      <c r="J8" s="190"/>
      <c r="K8" s="190"/>
      <c r="L8" s="190"/>
      <c r="M8" s="190"/>
      <c r="N8" s="190"/>
      <c r="O8" s="190"/>
      <c r="P8" s="190"/>
      <c r="Q8" s="190"/>
      <c r="R8" s="28"/>
    </row>
    <row r="9" spans="1:19" ht="15" customHeight="1" x14ac:dyDescent="0.25">
      <c r="A9" s="119" t="s">
        <v>7</v>
      </c>
      <c r="B9" s="234" t="s">
        <v>333</v>
      </c>
      <c r="C9" s="235"/>
      <c r="D9" s="235"/>
      <c r="E9" s="235"/>
      <c r="F9" s="235"/>
      <c r="G9" s="235"/>
      <c r="H9" s="235"/>
      <c r="I9" s="235"/>
      <c r="J9" s="235"/>
      <c r="K9" s="235"/>
      <c r="L9" s="235"/>
      <c r="M9" s="235"/>
      <c r="N9" s="235"/>
      <c r="O9" s="235"/>
      <c r="P9" s="235"/>
      <c r="Q9" s="236"/>
      <c r="R9" s="28"/>
    </row>
    <row r="10" spans="1:19" ht="15" customHeight="1" x14ac:dyDescent="0.25">
      <c r="A10" s="166" t="s">
        <v>8</v>
      </c>
      <c r="B10" s="158" t="s">
        <v>334</v>
      </c>
      <c r="C10" s="158" t="s">
        <v>173</v>
      </c>
      <c r="D10" s="54" t="s">
        <v>9</v>
      </c>
      <c r="E10" s="46">
        <f>SUM(E11:E15)</f>
        <v>20641.580000000002</v>
      </c>
      <c r="F10" s="46">
        <f t="shared" ref="F10:I10" si="0">SUM(F11:F15)</f>
        <v>3920.1499999999996</v>
      </c>
      <c r="G10" s="46">
        <f t="shared" si="0"/>
        <v>4148.45</v>
      </c>
      <c r="H10" s="46">
        <f t="shared" si="0"/>
        <v>4175.26</v>
      </c>
      <c r="I10" s="46">
        <f t="shared" si="0"/>
        <v>4198.8600000000006</v>
      </c>
      <c r="J10" s="46">
        <f>J12+J13+J14+J15</f>
        <v>4198.8600000000006</v>
      </c>
      <c r="K10" s="252" t="s">
        <v>335</v>
      </c>
      <c r="L10" s="169">
        <v>343</v>
      </c>
      <c r="M10" s="169">
        <v>368</v>
      </c>
      <c r="N10" s="169">
        <v>368</v>
      </c>
      <c r="O10" s="169">
        <v>368</v>
      </c>
      <c r="P10" s="169">
        <v>368</v>
      </c>
      <c r="Q10" s="255" t="s">
        <v>336</v>
      </c>
      <c r="R10" s="28"/>
    </row>
    <row r="11" spans="1:19" x14ac:dyDescent="0.25">
      <c r="A11" s="167"/>
      <c r="B11" s="159"/>
      <c r="C11" s="159"/>
      <c r="D11" s="155" t="s">
        <v>10</v>
      </c>
      <c r="E11" s="156"/>
      <c r="F11" s="156"/>
      <c r="G11" s="156"/>
      <c r="H11" s="156"/>
      <c r="I11" s="156"/>
      <c r="J11" s="157"/>
      <c r="K11" s="253"/>
      <c r="L11" s="170"/>
      <c r="M11" s="170"/>
      <c r="N11" s="170"/>
      <c r="O11" s="170"/>
      <c r="P11" s="170"/>
      <c r="Q11" s="256"/>
      <c r="R11" s="28"/>
    </row>
    <row r="12" spans="1:19" x14ac:dyDescent="0.25">
      <c r="A12" s="167"/>
      <c r="B12" s="159"/>
      <c r="C12" s="159"/>
      <c r="D12" s="54" t="s">
        <v>11</v>
      </c>
      <c r="E12" s="46">
        <f>SUM(F12:J12)</f>
        <v>11860.492000000002</v>
      </c>
      <c r="F12" s="46">
        <f>3970-F13-F19-F18</f>
        <v>2275.3719999999998</v>
      </c>
      <c r="G12" s="46">
        <f>4200-G13-G19-G18</f>
        <v>2391.3849999999998</v>
      </c>
      <c r="H12" s="46">
        <f>4226.5-H13-H19-H18</f>
        <v>2397.0450000000001</v>
      </c>
      <c r="I12" s="46">
        <f>4251.1-I13-I19-I18</f>
        <v>2398.3450000000003</v>
      </c>
      <c r="J12" s="46">
        <f>I12</f>
        <v>2398.3450000000003</v>
      </c>
      <c r="K12" s="253"/>
      <c r="L12" s="170"/>
      <c r="M12" s="170"/>
      <c r="N12" s="170"/>
      <c r="O12" s="170"/>
      <c r="P12" s="170"/>
      <c r="Q12" s="256"/>
      <c r="R12" s="28"/>
    </row>
    <row r="13" spans="1:19" x14ac:dyDescent="0.25">
      <c r="A13" s="167"/>
      <c r="B13" s="159"/>
      <c r="C13" s="159"/>
      <c r="D13" s="54" t="s">
        <v>12</v>
      </c>
      <c r="E13" s="46">
        <f t="shared" ref="E13:E15" si="1">SUM(F13:J13)</f>
        <v>8781.0879999999997</v>
      </c>
      <c r="F13" s="46">
        <f>311.8+1365.428-F19</f>
        <v>1644.778</v>
      </c>
      <c r="G13" s="46">
        <f>549.4+1237.065-G19</f>
        <v>1757.0650000000001</v>
      </c>
      <c r="H13" s="46">
        <f>574.6+1237.065-H19</f>
        <v>1778.2149999999999</v>
      </c>
      <c r="I13" s="46">
        <f>597.9+1237.065-I19</f>
        <v>1800.5150000000001</v>
      </c>
      <c r="J13" s="46">
        <f>I13</f>
        <v>1800.5150000000001</v>
      </c>
      <c r="K13" s="253"/>
      <c r="L13" s="170"/>
      <c r="M13" s="170"/>
      <c r="N13" s="170"/>
      <c r="O13" s="170"/>
      <c r="P13" s="170"/>
      <c r="Q13" s="256"/>
      <c r="R13" s="28"/>
    </row>
    <row r="14" spans="1:19" x14ac:dyDescent="0.25">
      <c r="A14" s="167"/>
      <c r="B14" s="159"/>
      <c r="C14" s="159"/>
      <c r="D14" s="54" t="s">
        <v>13</v>
      </c>
      <c r="E14" s="46">
        <f t="shared" si="1"/>
        <v>0</v>
      </c>
      <c r="F14" s="46">
        <v>0</v>
      </c>
      <c r="G14" s="46">
        <v>0</v>
      </c>
      <c r="H14" s="46">
        <v>0</v>
      </c>
      <c r="I14" s="46">
        <v>0</v>
      </c>
      <c r="J14" s="46">
        <v>0</v>
      </c>
      <c r="K14" s="253"/>
      <c r="L14" s="170"/>
      <c r="M14" s="170"/>
      <c r="N14" s="170"/>
      <c r="O14" s="170"/>
      <c r="P14" s="170"/>
      <c r="Q14" s="256"/>
      <c r="R14" s="28"/>
    </row>
    <row r="15" spans="1:19" x14ac:dyDescent="0.25">
      <c r="A15" s="168"/>
      <c r="B15" s="160"/>
      <c r="C15" s="160"/>
      <c r="D15" s="54" t="s">
        <v>14</v>
      </c>
      <c r="E15" s="46">
        <f t="shared" si="1"/>
        <v>0</v>
      </c>
      <c r="F15" s="46">
        <v>0</v>
      </c>
      <c r="G15" s="46">
        <v>0</v>
      </c>
      <c r="H15" s="46">
        <v>0</v>
      </c>
      <c r="I15" s="46">
        <v>0</v>
      </c>
      <c r="J15" s="46">
        <v>0</v>
      </c>
      <c r="K15" s="254"/>
      <c r="L15" s="171"/>
      <c r="M15" s="171"/>
      <c r="N15" s="171"/>
      <c r="O15" s="171"/>
      <c r="P15" s="171"/>
      <c r="Q15" s="257"/>
      <c r="R15" s="28"/>
    </row>
    <row r="16" spans="1:19" ht="15" customHeight="1" x14ac:dyDescent="0.25">
      <c r="A16" s="166" t="s">
        <v>15</v>
      </c>
      <c r="B16" s="158" t="s">
        <v>337</v>
      </c>
      <c r="C16" s="158" t="s">
        <v>173</v>
      </c>
      <c r="D16" s="54" t="s">
        <v>9</v>
      </c>
      <c r="E16" s="46">
        <f>SUM(E17:E21)</f>
        <v>257.12</v>
      </c>
      <c r="F16" s="46">
        <f t="shared" ref="F16:I16" si="2">SUM(F17:F21)</f>
        <v>49.85</v>
      </c>
      <c r="G16" s="46">
        <f t="shared" si="2"/>
        <v>51.55</v>
      </c>
      <c r="H16" s="46">
        <f t="shared" si="2"/>
        <v>51.24</v>
      </c>
      <c r="I16" s="46">
        <f t="shared" si="2"/>
        <v>52.24</v>
      </c>
      <c r="J16" s="46">
        <f>J18+J19+J20+J21</f>
        <v>52.24</v>
      </c>
      <c r="K16" s="252" t="s">
        <v>338</v>
      </c>
      <c r="L16" s="169">
        <v>12</v>
      </c>
      <c r="M16" s="169">
        <v>7</v>
      </c>
      <c r="N16" s="169">
        <v>7</v>
      </c>
      <c r="O16" s="169">
        <v>7</v>
      </c>
      <c r="P16" s="169">
        <v>7</v>
      </c>
      <c r="Q16" s="161" t="s">
        <v>339</v>
      </c>
      <c r="R16" s="28"/>
    </row>
    <row r="17" spans="1:18" x14ac:dyDescent="0.25">
      <c r="A17" s="167"/>
      <c r="B17" s="159"/>
      <c r="C17" s="159"/>
      <c r="D17" s="155" t="s">
        <v>10</v>
      </c>
      <c r="E17" s="156"/>
      <c r="F17" s="156"/>
      <c r="G17" s="156"/>
      <c r="H17" s="156"/>
      <c r="I17" s="156"/>
      <c r="J17" s="157"/>
      <c r="K17" s="253"/>
      <c r="L17" s="170"/>
      <c r="M17" s="170"/>
      <c r="N17" s="170"/>
      <c r="O17" s="170"/>
      <c r="P17" s="170"/>
      <c r="Q17" s="162"/>
      <c r="R17" s="28"/>
    </row>
    <row r="18" spans="1:18" x14ac:dyDescent="0.25">
      <c r="A18" s="167"/>
      <c r="B18" s="159"/>
      <c r="C18" s="159"/>
      <c r="D18" s="54" t="s">
        <v>11</v>
      </c>
      <c r="E18" s="46">
        <f>SUM(F18:J18)</f>
        <v>92.919999999999987</v>
      </c>
      <c r="F18" s="46">
        <f>49.85-F19</f>
        <v>17.399999999999999</v>
      </c>
      <c r="G18" s="46">
        <f>1.548+20.602</f>
        <v>22.15</v>
      </c>
      <c r="H18" s="46">
        <f t="shared" ref="H18:I18" si="3">1.79+16</f>
        <v>17.79</v>
      </c>
      <c r="I18" s="46">
        <f t="shared" si="3"/>
        <v>17.79</v>
      </c>
      <c r="J18" s="46">
        <f>I18</f>
        <v>17.79</v>
      </c>
      <c r="K18" s="253"/>
      <c r="L18" s="170"/>
      <c r="M18" s="170"/>
      <c r="N18" s="170"/>
      <c r="O18" s="170"/>
      <c r="P18" s="170"/>
      <c r="Q18" s="162"/>
      <c r="R18" s="28"/>
    </row>
    <row r="19" spans="1:18" x14ac:dyDescent="0.25">
      <c r="A19" s="167"/>
      <c r="B19" s="159"/>
      <c r="C19" s="159"/>
      <c r="D19" s="54" t="s">
        <v>12</v>
      </c>
      <c r="E19" s="46">
        <f t="shared" ref="E19:E21" si="4">SUM(F19:J19)</f>
        <v>164.2</v>
      </c>
      <c r="F19" s="46">
        <v>32.450000000000003</v>
      </c>
      <c r="G19" s="46">
        <v>29.4</v>
      </c>
      <c r="H19" s="46">
        <v>33.450000000000003</v>
      </c>
      <c r="I19" s="46">
        <v>34.450000000000003</v>
      </c>
      <c r="J19" s="46">
        <f>I19</f>
        <v>34.450000000000003</v>
      </c>
      <c r="K19" s="253"/>
      <c r="L19" s="170"/>
      <c r="M19" s="170"/>
      <c r="N19" s="170"/>
      <c r="O19" s="170"/>
      <c r="P19" s="170"/>
      <c r="Q19" s="162"/>
      <c r="R19" s="28"/>
    </row>
    <row r="20" spans="1:18" x14ac:dyDescent="0.25">
      <c r="A20" s="167"/>
      <c r="B20" s="159"/>
      <c r="C20" s="159"/>
      <c r="D20" s="54" t="s">
        <v>13</v>
      </c>
      <c r="E20" s="46">
        <f t="shared" si="4"/>
        <v>0</v>
      </c>
      <c r="F20" s="46">
        <v>0</v>
      </c>
      <c r="G20" s="46">
        <v>0</v>
      </c>
      <c r="H20" s="46">
        <v>0</v>
      </c>
      <c r="I20" s="46">
        <v>0</v>
      </c>
      <c r="J20" s="46">
        <v>0</v>
      </c>
      <c r="K20" s="253"/>
      <c r="L20" s="170"/>
      <c r="M20" s="170"/>
      <c r="N20" s="170"/>
      <c r="O20" s="170"/>
      <c r="P20" s="170"/>
      <c r="Q20" s="162"/>
      <c r="R20" s="28"/>
    </row>
    <row r="21" spans="1:18" x14ac:dyDescent="0.25">
      <c r="A21" s="168"/>
      <c r="B21" s="160"/>
      <c r="C21" s="160"/>
      <c r="D21" s="54" t="s">
        <v>14</v>
      </c>
      <c r="E21" s="46">
        <f t="shared" si="4"/>
        <v>0</v>
      </c>
      <c r="F21" s="46">
        <v>0</v>
      </c>
      <c r="G21" s="46">
        <v>0</v>
      </c>
      <c r="H21" s="46">
        <v>0</v>
      </c>
      <c r="I21" s="46">
        <v>0</v>
      </c>
      <c r="J21" s="46">
        <v>0</v>
      </c>
      <c r="K21" s="254"/>
      <c r="L21" s="171"/>
      <c r="M21" s="171"/>
      <c r="N21" s="171"/>
      <c r="O21" s="171"/>
      <c r="P21" s="171"/>
      <c r="Q21" s="163"/>
      <c r="R21" s="28"/>
    </row>
    <row r="22" spans="1:18" x14ac:dyDescent="0.25">
      <c r="A22" s="207"/>
      <c r="B22" s="166" t="s">
        <v>16</v>
      </c>
      <c r="C22" s="207"/>
      <c r="D22" s="54" t="s">
        <v>9</v>
      </c>
      <c r="E22" s="46">
        <f t="shared" ref="E22" si="5">SUM(E23:E27)</f>
        <v>20898.7</v>
      </c>
      <c r="F22" s="46">
        <f>F24+F25+F26+F27</f>
        <v>3970</v>
      </c>
      <c r="G22" s="46">
        <f t="shared" ref="G22:H22" si="6">G24+G25+G26+G27</f>
        <v>4200</v>
      </c>
      <c r="H22" s="46">
        <f t="shared" si="6"/>
        <v>4226.5</v>
      </c>
      <c r="I22" s="46">
        <f>I24+I25+I26+I27</f>
        <v>4251.1000000000004</v>
      </c>
      <c r="J22" s="46">
        <f>J24+J25+J26+J27</f>
        <v>4251.1000000000004</v>
      </c>
      <c r="K22" s="161"/>
      <c r="L22" s="207"/>
      <c r="M22" s="207"/>
      <c r="N22" s="207"/>
      <c r="O22" s="207"/>
      <c r="P22" s="207"/>
      <c r="Q22" s="161"/>
      <c r="R22" s="28"/>
    </row>
    <row r="23" spans="1:18" x14ac:dyDescent="0.25">
      <c r="A23" s="208"/>
      <c r="B23" s="167"/>
      <c r="C23" s="208"/>
      <c r="D23" s="155" t="s">
        <v>10</v>
      </c>
      <c r="E23" s="156"/>
      <c r="F23" s="156"/>
      <c r="G23" s="156"/>
      <c r="H23" s="156"/>
      <c r="I23" s="156"/>
      <c r="J23" s="157"/>
      <c r="K23" s="162"/>
      <c r="L23" s="208"/>
      <c r="M23" s="208"/>
      <c r="N23" s="208"/>
      <c r="O23" s="208"/>
      <c r="P23" s="208"/>
      <c r="Q23" s="162"/>
      <c r="R23" s="28"/>
    </row>
    <row r="24" spans="1:18" x14ac:dyDescent="0.25">
      <c r="A24" s="208"/>
      <c r="B24" s="167"/>
      <c r="C24" s="208"/>
      <c r="D24" s="54" t="s">
        <v>11</v>
      </c>
      <c r="E24" s="46">
        <f>SUM(F24:J24)</f>
        <v>11953.412</v>
      </c>
      <c r="F24" s="46">
        <f>F12+F18</f>
        <v>2292.7719999999999</v>
      </c>
      <c r="G24" s="46">
        <f t="shared" ref="G24:H27" si="7">G12+G18</f>
        <v>2413.5349999999999</v>
      </c>
      <c r="H24" s="46">
        <f t="shared" si="7"/>
        <v>2414.835</v>
      </c>
      <c r="I24" s="46">
        <f>I12+I18</f>
        <v>2416.1350000000002</v>
      </c>
      <c r="J24" s="46">
        <f>J12+J18</f>
        <v>2416.1350000000002</v>
      </c>
      <c r="K24" s="162"/>
      <c r="L24" s="208"/>
      <c r="M24" s="208"/>
      <c r="N24" s="208"/>
      <c r="O24" s="208"/>
      <c r="P24" s="208"/>
      <c r="Q24" s="162"/>
      <c r="R24" s="28"/>
    </row>
    <row r="25" spans="1:18" x14ac:dyDescent="0.25">
      <c r="A25" s="208"/>
      <c r="B25" s="167"/>
      <c r="C25" s="208"/>
      <c r="D25" s="54" t="s">
        <v>12</v>
      </c>
      <c r="E25" s="46">
        <f t="shared" ref="E25:E27" si="8">SUM(F25:J25)</f>
        <v>8945.2880000000005</v>
      </c>
      <c r="F25" s="46">
        <f t="shared" ref="F25:J27" si="9">F13+F19</f>
        <v>1677.2280000000001</v>
      </c>
      <c r="G25" s="46">
        <f t="shared" si="7"/>
        <v>1786.4650000000001</v>
      </c>
      <c r="H25" s="46">
        <f t="shared" si="7"/>
        <v>1811.665</v>
      </c>
      <c r="I25" s="46">
        <f t="shared" si="9"/>
        <v>1834.9650000000001</v>
      </c>
      <c r="J25" s="46">
        <f t="shared" si="9"/>
        <v>1834.9650000000001</v>
      </c>
      <c r="K25" s="162"/>
      <c r="L25" s="208"/>
      <c r="M25" s="208"/>
      <c r="N25" s="208"/>
      <c r="O25" s="208"/>
      <c r="P25" s="208"/>
      <c r="Q25" s="162"/>
      <c r="R25" s="28"/>
    </row>
    <row r="26" spans="1:18" x14ac:dyDescent="0.25">
      <c r="A26" s="208"/>
      <c r="B26" s="167"/>
      <c r="C26" s="208"/>
      <c r="D26" s="54" t="s">
        <v>13</v>
      </c>
      <c r="E26" s="46">
        <f t="shared" si="8"/>
        <v>0</v>
      </c>
      <c r="F26" s="46">
        <f t="shared" si="9"/>
        <v>0</v>
      </c>
      <c r="G26" s="46">
        <f t="shared" si="7"/>
        <v>0</v>
      </c>
      <c r="H26" s="46">
        <f t="shared" si="7"/>
        <v>0</v>
      </c>
      <c r="I26" s="46">
        <f t="shared" si="9"/>
        <v>0</v>
      </c>
      <c r="J26" s="46">
        <f t="shared" si="9"/>
        <v>0</v>
      </c>
      <c r="K26" s="162"/>
      <c r="L26" s="208"/>
      <c r="M26" s="208"/>
      <c r="N26" s="208"/>
      <c r="O26" s="208"/>
      <c r="P26" s="208"/>
      <c r="Q26" s="162"/>
      <c r="R26" s="28"/>
    </row>
    <row r="27" spans="1:18" x14ac:dyDescent="0.25">
      <c r="A27" s="209"/>
      <c r="B27" s="168"/>
      <c r="C27" s="209"/>
      <c r="D27" s="54" t="s">
        <v>14</v>
      </c>
      <c r="E27" s="46">
        <f t="shared" si="8"/>
        <v>0</v>
      </c>
      <c r="F27" s="46">
        <f t="shared" si="9"/>
        <v>0</v>
      </c>
      <c r="G27" s="46">
        <f t="shared" si="7"/>
        <v>0</v>
      </c>
      <c r="H27" s="46">
        <f t="shared" si="7"/>
        <v>0</v>
      </c>
      <c r="I27" s="46">
        <f t="shared" si="9"/>
        <v>0</v>
      </c>
      <c r="J27" s="46">
        <f t="shared" si="9"/>
        <v>0</v>
      </c>
      <c r="K27" s="163"/>
      <c r="L27" s="209"/>
      <c r="M27" s="209"/>
      <c r="N27" s="209"/>
      <c r="O27" s="209"/>
      <c r="P27" s="209"/>
      <c r="Q27" s="163"/>
      <c r="R27" s="28"/>
    </row>
    <row r="28" spans="1:18" ht="26.25" customHeight="1" x14ac:dyDescent="0.25">
      <c r="A28" s="126" t="s">
        <v>20</v>
      </c>
      <c r="B28" s="258" t="s">
        <v>340</v>
      </c>
      <c r="C28" s="259"/>
      <c r="D28" s="259"/>
      <c r="E28" s="259"/>
      <c r="F28" s="259"/>
      <c r="G28" s="259"/>
      <c r="H28" s="259"/>
      <c r="I28" s="259"/>
      <c r="J28" s="259"/>
      <c r="K28" s="259"/>
      <c r="L28" s="259"/>
      <c r="M28" s="259"/>
      <c r="N28" s="259"/>
      <c r="O28" s="259"/>
      <c r="P28" s="259"/>
      <c r="Q28" s="260"/>
      <c r="R28" s="28"/>
    </row>
    <row r="29" spans="1:18" ht="15" customHeight="1" x14ac:dyDescent="0.25">
      <c r="A29" s="189" t="s">
        <v>24</v>
      </c>
      <c r="B29" s="213" t="s">
        <v>341</v>
      </c>
      <c r="C29" s="158" t="s">
        <v>173</v>
      </c>
      <c r="D29" s="54" t="s">
        <v>9</v>
      </c>
      <c r="E29" s="46">
        <f t="shared" ref="E29:J29" si="10">SUM(E30:E34)</f>
        <v>1100</v>
      </c>
      <c r="F29" s="46">
        <f t="shared" si="10"/>
        <v>180</v>
      </c>
      <c r="G29" s="46">
        <f t="shared" si="10"/>
        <v>230</v>
      </c>
      <c r="H29" s="46">
        <f t="shared" si="10"/>
        <v>230</v>
      </c>
      <c r="I29" s="46">
        <f t="shared" si="10"/>
        <v>230</v>
      </c>
      <c r="J29" s="46">
        <f t="shared" si="10"/>
        <v>230</v>
      </c>
      <c r="K29" s="202" t="s">
        <v>342</v>
      </c>
      <c r="L29" s="169">
        <v>26</v>
      </c>
      <c r="M29" s="169">
        <v>27</v>
      </c>
      <c r="N29" s="169">
        <v>27</v>
      </c>
      <c r="O29" s="169">
        <v>28</v>
      </c>
      <c r="P29" s="169">
        <v>28</v>
      </c>
      <c r="Q29" s="179" t="s">
        <v>83</v>
      </c>
      <c r="R29" s="28"/>
    </row>
    <row r="30" spans="1:18" x14ac:dyDescent="0.25">
      <c r="A30" s="189"/>
      <c r="B30" s="213"/>
      <c r="C30" s="159"/>
      <c r="D30" s="155" t="s">
        <v>10</v>
      </c>
      <c r="E30" s="156"/>
      <c r="F30" s="156"/>
      <c r="G30" s="156"/>
      <c r="H30" s="156"/>
      <c r="I30" s="156"/>
      <c r="J30" s="157"/>
      <c r="K30" s="203"/>
      <c r="L30" s="170"/>
      <c r="M30" s="170"/>
      <c r="N30" s="170"/>
      <c r="O30" s="170"/>
      <c r="P30" s="170"/>
      <c r="Q30" s="180"/>
      <c r="R30" s="28"/>
    </row>
    <row r="31" spans="1:18" x14ac:dyDescent="0.25">
      <c r="A31" s="189"/>
      <c r="B31" s="213"/>
      <c r="C31" s="159"/>
      <c r="D31" s="54" t="s">
        <v>11</v>
      </c>
      <c r="E31" s="46">
        <f>SUM(F31:J31)</f>
        <v>1100</v>
      </c>
      <c r="F31" s="46">
        <v>180</v>
      </c>
      <c r="G31" s="46">
        <v>230</v>
      </c>
      <c r="H31" s="46">
        <v>230</v>
      </c>
      <c r="I31" s="46">
        <v>230</v>
      </c>
      <c r="J31" s="46">
        <v>230</v>
      </c>
      <c r="K31" s="203"/>
      <c r="L31" s="170"/>
      <c r="M31" s="170"/>
      <c r="N31" s="170"/>
      <c r="O31" s="170"/>
      <c r="P31" s="170"/>
      <c r="Q31" s="180"/>
      <c r="R31" s="28"/>
    </row>
    <row r="32" spans="1:18" x14ac:dyDescent="0.25">
      <c r="A32" s="189"/>
      <c r="B32" s="213"/>
      <c r="C32" s="159"/>
      <c r="D32" s="54" t="s">
        <v>12</v>
      </c>
      <c r="E32" s="46">
        <f t="shared" ref="E32:E34" si="11">SUM(F32:J32)</f>
        <v>0</v>
      </c>
      <c r="F32" s="46">
        <v>0</v>
      </c>
      <c r="G32" s="46">
        <v>0</v>
      </c>
      <c r="H32" s="46">
        <v>0</v>
      </c>
      <c r="I32" s="46">
        <v>0</v>
      </c>
      <c r="J32" s="46">
        <v>0</v>
      </c>
      <c r="K32" s="203"/>
      <c r="L32" s="170"/>
      <c r="M32" s="170"/>
      <c r="N32" s="170"/>
      <c r="O32" s="170"/>
      <c r="P32" s="170"/>
      <c r="Q32" s="180"/>
      <c r="R32" s="28"/>
    </row>
    <row r="33" spans="1:18" x14ac:dyDescent="0.25">
      <c r="A33" s="189"/>
      <c r="B33" s="213"/>
      <c r="C33" s="159"/>
      <c r="D33" s="54" t="s">
        <v>13</v>
      </c>
      <c r="E33" s="46">
        <f t="shared" si="11"/>
        <v>0</v>
      </c>
      <c r="F33" s="46">
        <v>0</v>
      </c>
      <c r="G33" s="46">
        <v>0</v>
      </c>
      <c r="H33" s="46">
        <v>0</v>
      </c>
      <c r="I33" s="46">
        <v>0</v>
      </c>
      <c r="J33" s="46">
        <v>0</v>
      </c>
      <c r="K33" s="203"/>
      <c r="L33" s="170"/>
      <c r="M33" s="170"/>
      <c r="N33" s="170"/>
      <c r="O33" s="170"/>
      <c r="P33" s="170"/>
      <c r="Q33" s="180"/>
      <c r="R33" s="28"/>
    </row>
    <row r="34" spans="1:18" x14ac:dyDescent="0.25">
      <c r="A34" s="189"/>
      <c r="B34" s="213"/>
      <c r="C34" s="160"/>
      <c r="D34" s="54" t="s">
        <v>14</v>
      </c>
      <c r="E34" s="46">
        <f t="shared" si="11"/>
        <v>0</v>
      </c>
      <c r="F34" s="46">
        <v>0</v>
      </c>
      <c r="G34" s="46">
        <v>0</v>
      </c>
      <c r="H34" s="46">
        <v>0</v>
      </c>
      <c r="I34" s="46">
        <v>0</v>
      </c>
      <c r="J34" s="46">
        <v>0</v>
      </c>
      <c r="K34" s="204"/>
      <c r="L34" s="171"/>
      <c r="M34" s="171"/>
      <c r="N34" s="171"/>
      <c r="O34" s="171"/>
      <c r="P34" s="171"/>
      <c r="Q34" s="181"/>
      <c r="R34" s="28"/>
    </row>
    <row r="35" spans="1:18" x14ac:dyDescent="0.25">
      <c r="A35" s="239"/>
      <c r="B35" s="213" t="s">
        <v>23</v>
      </c>
      <c r="C35" s="239"/>
      <c r="D35" s="54" t="s">
        <v>9</v>
      </c>
      <c r="E35" s="46">
        <f t="shared" ref="E35:J35" si="12">SUM(E36:E40)</f>
        <v>1100</v>
      </c>
      <c r="F35" s="46">
        <f t="shared" si="12"/>
        <v>180</v>
      </c>
      <c r="G35" s="46">
        <f t="shared" si="12"/>
        <v>230</v>
      </c>
      <c r="H35" s="46">
        <f t="shared" si="12"/>
        <v>230</v>
      </c>
      <c r="I35" s="46">
        <f t="shared" si="12"/>
        <v>230</v>
      </c>
      <c r="J35" s="46">
        <f t="shared" si="12"/>
        <v>230</v>
      </c>
      <c r="K35" s="207"/>
      <c r="L35" s="207"/>
      <c r="M35" s="207"/>
      <c r="N35" s="207"/>
      <c r="O35" s="207"/>
      <c r="P35" s="207"/>
      <c r="Q35" s="161"/>
      <c r="R35" s="28"/>
    </row>
    <row r="36" spans="1:18" x14ac:dyDescent="0.25">
      <c r="A36" s="239"/>
      <c r="B36" s="213"/>
      <c r="C36" s="239"/>
      <c r="D36" s="155" t="s">
        <v>10</v>
      </c>
      <c r="E36" s="156"/>
      <c r="F36" s="156"/>
      <c r="G36" s="156"/>
      <c r="H36" s="156"/>
      <c r="I36" s="156"/>
      <c r="J36" s="157"/>
      <c r="K36" s="208"/>
      <c r="L36" s="208"/>
      <c r="M36" s="208"/>
      <c r="N36" s="208"/>
      <c r="O36" s="208"/>
      <c r="P36" s="208"/>
      <c r="Q36" s="162"/>
      <c r="R36" s="28"/>
    </row>
    <row r="37" spans="1:18" x14ac:dyDescent="0.25">
      <c r="A37" s="239"/>
      <c r="B37" s="213"/>
      <c r="C37" s="239"/>
      <c r="D37" s="54" t="s">
        <v>11</v>
      </c>
      <c r="E37" s="46">
        <f>SUM(F37:J37)</f>
        <v>1100</v>
      </c>
      <c r="F37" s="46">
        <f t="shared" ref="F37:J40" si="13">F31</f>
        <v>180</v>
      </c>
      <c r="G37" s="46">
        <f t="shared" si="13"/>
        <v>230</v>
      </c>
      <c r="H37" s="46">
        <f t="shared" si="13"/>
        <v>230</v>
      </c>
      <c r="I37" s="46">
        <f t="shared" si="13"/>
        <v>230</v>
      </c>
      <c r="J37" s="46">
        <f t="shared" si="13"/>
        <v>230</v>
      </c>
      <c r="K37" s="208"/>
      <c r="L37" s="208"/>
      <c r="M37" s="208"/>
      <c r="N37" s="208"/>
      <c r="O37" s="208"/>
      <c r="P37" s="208"/>
      <c r="Q37" s="162"/>
      <c r="R37" s="28"/>
    </row>
    <row r="38" spans="1:18" x14ac:dyDescent="0.25">
      <c r="A38" s="239"/>
      <c r="B38" s="213"/>
      <c r="C38" s="239"/>
      <c r="D38" s="54" t="s">
        <v>12</v>
      </c>
      <c r="E38" s="46">
        <f t="shared" ref="E38:E40" si="14">SUM(F38:J38)</f>
        <v>0</v>
      </c>
      <c r="F38" s="46">
        <f t="shared" si="13"/>
        <v>0</v>
      </c>
      <c r="G38" s="46">
        <f t="shared" si="13"/>
        <v>0</v>
      </c>
      <c r="H38" s="46">
        <f t="shared" si="13"/>
        <v>0</v>
      </c>
      <c r="I38" s="46">
        <f t="shared" si="13"/>
        <v>0</v>
      </c>
      <c r="J38" s="46">
        <f t="shared" si="13"/>
        <v>0</v>
      </c>
      <c r="K38" s="208"/>
      <c r="L38" s="208"/>
      <c r="M38" s="208"/>
      <c r="N38" s="208"/>
      <c r="O38" s="208"/>
      <c r="P38" s="208"/>
      <c r="Q38" s="162"/>
      <c r="R38" s="28"/>
    </row>
    <row r="39" spans="1:18" x14ac:dyDescent="0.25">
      <c r="A39" s="239"/>
      <c r="B39" s="213"/>
      <c r="C39" s="239"/>
      <c r="D39" s="54" t="s">
        <v>13</v>
      </c>
      <c r="E39" s="46">
        <f t="shared" si="14"/>
        <v>0</v>
      </c>
      <c r="F39" s="46">
        <f t="shared" si="13"/>
        <v>0</v>
      </c>
      <c r="G39" s="46">
        <f t="shared" si="13"/>
        <v>0</v>
      </c>
      <c r="H39" s="46">
        <f t="shared" si="13"/>
        <v>0</v>
      </c>
      <c r="I39" s="46">
        <f t="shared" si="13"/>
        <v>0</v>
      </c>
      <c r="J39" s="46">
        <f t="shared" si="13"/>
        <v>0</v>
      </c>
      <c r="K39" s="208"/>
      <c r="L39" s="208"/>
      <c r="M39" s="208"/>
      <c r="N39" s="208"/>
      <c r="O39" s="208"/>
      <c r="P39" s="208"/>
      <c r="Q39" s="162"/>
      <c r="R39" s="28"/>
    </row>
    <row r="40" spans="1:18" x14ac:dyDescent="0.25">
      <c r="A40" s="239"/>
      <c r="B40" s="213"/>
      <c r="C40" s="239"/>
      <c r="D40" s="54" t="s">
        <v>14</v>
      </c>
      <c r="E40" s="46">
        <f t="shared" si="14"/>
        <v>0</v>
      </c>
      <c r="F40" s="46">
        <f t="shared" si="13"/>
        <v>0</v>
      </c>
      <c r="G40" s="46">
        <f t="shared" si="13"/>
        <v>0</v>
      </c>
      <c r="H40" s="46">
        <f t="shared" si="13"/>
        <v>0</v>
      </c>
      <c r="I40" s="46">
        <f t="shared" si="13"/>
        <v>0</v>
      </c>
      <c r="J40" s="46">
        <f t="shared" si="13"/>
        <v>0</v>
      </c>
      <c r="K40" s="209"/>
      <c r="L40" s="209"/>
      <c r="M40" s="209"/>
      <c r="N40" s="209"/>
      <c r="O40" s="209"/>
      <c r="P40" s="209"/>
      <c r="Q40" s="163"/>
      <c r="R40" s="28"/>
    </row>
    <row r="41" spans="1:18" x14ac:dyDescent="0.25">
      <c r="A41" s="126" t="s">
        <v>65</v>
      </c>
      <c r="B41" s="258" t="s">
        <v>343</v>
      </c>
      <c r="C41" s="259"/>
      <c r="D41" s="259"/>
      <c r="E41" s="259"/>
      <c r="F41" s="259"/>
      <c r="G41" s="259"/>
      <c r="H41" s="259"/>
      <c r="I41" s="259"/>
      <c r="J41" s="259"/>
      <c r="K41" s="259"/>
      <c r="L41" s="259"/>
      <c r="M41" s="259"/>
      <c r="N41" s="259"/>
      <c r="O41" s="259"/>
      <c r="P41" s="259"/>
      <c r="Q41" s="260"/>
      <c r="R41" s="28"/>
    </row>
    <row r="42" spans="1:18" ht="15" customHeight="1" x14ac:dyDescent="0.25">
      <c r="A42" s="189" t="s">
        <v>67</v>
      </c>
      <c r="B42" s="213" t="s">
        <v>344</v>
      </c>
      <c r="C42" s="158" t="s">
        <v>173</v>
      </c>
      <c r="D42" s="54" t="s">
        <v>9</v>
      </c>
      <c r="E42" s="46">
        <f>SUM(E43:E47)</f>
        <v>668</v>
      </c>
      <c r="F42" s="46">
        <f t="shared" ref="F42:J42" si="15">SUM(F43:F47)</f>
        <v>108</v>
      </c>
      <c r="G42" s="46">
        <f t="shared" si="15"/>
        <v>140</v>
      </c>
      <c r="H42" s="46">
        <f t="shared" si="15"/>
        <v>140</v>
      </c>
      <c r="I42" s="46">
        <f t="shared" si="15"/>
        <v>140</v>
      </c>
      <c r="J42" s="46">
        <f t="shared" si="15"/>
        <v>140</v>
      </c>
      <c r="K42" s="261" t="s">
        <v>342</v>
      </c>
      <c r="L42" s="169">
        <v>17.399999999999999</v>
      </c>
      <c r="M42" s="169">
        <v>17.600000000000001</v>
      </c>
      <c r="N42" s="169">
        <v>17.600000000000001</v>
      </c>
      <c r="O42" s="169">
        <v>17.8</v>
      </c>
      <c r="P42" s="169">
        <v>17.8</v>
      </c>
      <c r="Q42" s="179" t="s">
        <v>83</v>
      </c>
      <c r="R42" s="28"/>
    </row>
    <row r="43" spans="1:18" x14ac:dyDescent="0.25">
      <c r="A43" s="189"/>
      <c r="B43" s="213"/>
      <c r="C43" s="159"/>
      <c r="D43" s="155" t="s">
        <v>10</v>
      </c>
      <c r="E43" s="156"/>
      <c r="F43" s="156"/>
      <c r="G43" s="156"/>
      <c r="H43" s="156"/>
      <c r="I43" s="156"/>
      <c r="J43" s="157"/>
      <c r="K43" s="262"/>
      <c r="L43" s="170"/>
      <c r="M43" s="170"/>
      <c r="N43" s="170"/>
      <c r="O43" s="170"/>
      <c r="P43" s="170"/>
      <c r="Q43" s="180"/>
      <c r="R43" s="28"/>
    </row>
    <row r="44" spans="1:18" x14ac:dyDescent="0.25">
      <c r="A44" s="189"/>
      <c r="B44" s="213"/>
      <c r="C44" s="159"/>
      <c r="D44" s="54" t="s">
        <v>11</v>
      </c>
      <c r="E44" s="46">
        <f>SUM(F44:J44)</f>
        <v>668</v>
      </c>
      <c r="F44" s="46">
        <f>288-F31</f>
        <v>108</v>
      </c>
      <c r="G44" s="46">
        <f t="shared" ref="G44:J44" si="16">370-G31</f>
        <v>140</v>
      </c>
      <c r="H44" s="46">
        <f t="shared" si="16"/>
        <v>140</v>
      </c>
      <c r="I44" s="46">
        <f t="shared" si="16"/>
        <v>140</v>
      </c>
      <c r="J44" s="46">
        <f t="shared" si="16"/>
        <v>140</v>
      </c>
      <c r="K44" s="262"/>
      <c r="L44" s="170"/>
      <c r="M44" s="170"/>
      <c r="N44" s="170"/>
      <c r="O44" s="170"/>
      <c r="P44" s="170"/>
      <c r="Q44" s="180"/>
      <c r="R44" s="28"/>
    </row>
    <row r="45" spans="1:18" x14ac:dyDescent="0.25">
      <c r="A45" s="189"/>
      <c r="B45" s="213"/>
      <c r="C45" s="159"/>
      <c r="D45" s="54" t="s">
        <v>12</v>
      </c>
      <c r="E45" s="46">
        <f t="shared" ref="E45:E47" si="17">SUM(F45:J45)</f>
        <v>0</v>
      </c>
      <c r="F45" s="46">
        <v>0</v>
      </c>
      <c r="G45" s="46">
        <v>0</v>
      </c>
      <c r="H45" s="46">
        <v>0</v>
      </c>
      <c r="I45" s="46">
        <v>0</v>
      </c>
      <c r="J45" s="46">
        <v>0</v>
      </c>
      <c r="K45" s="262"/>
      <c r="L45" s="170"/>
      <c r="M45" s="170"/>
      <c r="N45" s="170"/>
      <c r="O45" s="170"/>
      <c r="P45" s="170"/>
      <c r="Q45" s="180"/>
      <c r="R45" s="28"/>
    </row>
    <row r="46" spans="1:18" x14ac:dyDescent="0.25">
      <c r="A46" s="189"/>
      <c r="B46" s="213"/>
      <c r="C46" s="159"/>
      <c r="D46" s="54" t="s">
        <v>13</v>
      </c>
      <c r="E46" s="46">
        <f t="shared" si="17"/>
        <v>0</v>
      </c>
      <c r="F46" s="46">
        <v>0</v>
      </c>
      <c r="G46" s="46">
        <v>0</v>
      </c>
      <c r="H46" s="46">
        <v>0</v>
      </c>
      <c r="I46" s="46">
        <v>0</v>
      </c>
      <c r="J46" s="46">
        <v>0</v>
      </c>
      <c r="K46" s="262"/>
      <c r="L46" s="170"/>
      <c r="M46" s="170"/>
      <c r="N46" s="170"/>
      <c r="O46" s="170"/>
      <c r="P46" s="170"/>
      <c r="Q46" s="180"/>
      <c r="R46" s="28"/>
    </row>
    <row r="47" spans="1:18" x14ac:dyDescent="0.25">
      <c r="A47" s="189"/>
      <c r="B47" s="213"/>
      <c r="C47" s="160"/>
      <c r="D47" s="54" t="s">
        <v>14</v>
      </c>
      <c r="E47" s="46">
        <f t="shared" si="17"/>
        <v>0</v>
      </c>
      <c r="F47" s="46">
        <v>0</v>
      </c>
      <c r="G47" s="46">
        <v>0</v>
      </c>
      <c r="H47" s="46">
        <v>0</v>
      </c>
      <c r="I47" s="46">
        <v>0</v>
      </c>
      <c r="J47" s="46">
        <v>0</v>
      </c>
      <c r="K47" s="263"/>
      <c r="L47" s="171"/>
      <c r="M47" s="171"/>
      <c r="N47" s="171"/>
      <c r="O47" s="171"/>
      <c r="P47" s="171"/>
      <c r="Q47" s="181"/>
      <c r="R47" s="28"/>
    </row>
    <row r="48" spans="1:18" x14ac:dyDescent="0.25">
      <c r="A48" s="207"/>
      <c r="B48" s="166" t="s">
        <v>66</v>
      </c>
      <c r="C48" s="207"/>
      <c r="D48" s="54" t="s">
        <v>9</v>
      </c>
      <c r="E48" s="46">
        <f t="shared" ref="E48:J48" si="18">SUM(E49:E53)</f>
        <v>668</v>
      </c>
      <c r="F48" s="46">
        <f t="shared" si="18"/>
        <v>108</v>
      </c>
      <c r="G48" s="46">
        <f t="shared" si="18"/>
        <v>140</v>
      </c>
      <c r="H48" s="46">
        <f t="shared" si="18"/>
        <v>140</v>
      </c>
      <c r="I48" s="46">
        <f t="shared" si="18"/>
        <v>140</v>
      </c>
      <c r="J48" s="46">
        <f t="shared" si="18"/>
        <v>140</v>
      </c>
      <c r="K48" s="207"/>
      <c r="L48" s="207"/>
      <c r="M48" s="207"/>
      <c r="N48" s="207"/>
      <c r="O48" s="207"/>
      <c r="P48" s="207"/>
      <c r="Q48" s="161"/>
      <c r="R48" s="28"/>
    </row>
    <row r="49" spans="1:18" x14ac:dyDescent="0.25">
      <c r="A49" s="208"/>
      <c r="B49" s="167"/>
      <c r="C49" s="208"/>
      <c r="D49" s="155" t="s">
        <v>10</v>
      </c>
      <c r="E49" s="156"/>
      <c r="F49" s="156"/>
      <c r="G49" s="156"/>
      <c r="H49" s="156"/>
      <c r="I49" s="156"/>
      <c r="J49" s="157"/>
      <c r="K49" s="208"/>
      <c r="L49" s="208"/>
      <c r="M49" s="208"/>
      <c r="N49" s="208"/>
      <c r="O49" s="208"/>
      <c r="P49" s="208"/>
      <c r="Q49" s="162"/>
      <c r="R49" s="28"/>
    </row>
    <row r="50" spans="1:18" x14ac:dyDescent="0.25">
      <c r="A50" s="208"/>
      <c r="B50" s="167"/>
      <c r="C50" s="208"/>
      <c r="D50" s="54" t="s">
        <v>11</v>
      </c>
      <c r="E50" s="46">
        <f>SUM(F50:J50)</f>
        <v>668</v>
      </c>
      <c r="F50" s="46">
        <f t="shared" ref="F50:J53" si="19">F44</f>
        <v>108</v>
      </c>
      <c r="G50" s="46">
        <f t="shared" si="19"/>
        <v>140</v>
      </c>
      <c r="H50" s="46">
        <f t="shared" si="19"/>
        <v>140</v>
      </c>
      <c r="I50" s="46">
        <f t="shared" si="19"/>
        <v>140</v>
      </c>
      <c r="J50" s="46">
        <f t="shared" si="19"/>
        <v>140</v>
      </c>
      <c r="K50" s="208"/>
      <c r="L50" s="208"/>
      <c r="M50" s="208"/>
      <c r="N50" s="208"/>
      <c r="O50" s="208"/>
      <c r="P50" s="208"/>
      <c r="Q50" s="162"/>
      <c r="R50" s="28"/>
    </row>
    <row r="51" spans="1:18" x14ac:dyDescent="0.25">
      <c r="A51" s="208"/>
      <c r="B51" s="167"/>
      <c r="C51" s="208"/>
      <c r="D51" s="54" t="s">
        <v>12</v>
      </c>
      <c r="E51" s="46">
        <f t="shared" ref="E51:E53" si="20">SUM(F51:J51)</f>
        <v>0</v>
      </c>
      <c r="F51" s="46">
        <f t="shared" si="19"/>
        <v>0</v>
      </c>
      <c r="G51" s="46">
        <f t="shared" si="19"/>
        <v>0</v>
      </c>
      <c r="H51" s="46">
        <f t="shared" si="19"/>
        <v>0</v>
      </c>
      <c r="I51" s="46">
        <f t="shared" si="19"/>
        <v>0</v>
      </c>
      <c r="J51" s="46">
        <f t="shared" si="19"/>
        <v>0</v>
      </c>
      <c r="K51" s="208"/>
      <c r="L51" s="208"/>
      <c r="M51" s="208"/>
      <c r="N51" s="208"/>
      <c r="O51" s="208"/>
      <c r="P51" s="208"/>
      <c r="Q51" s="162"/>
      <c r="R51" s="28"/>
    </row>
    <row r="52" spans="1:18" x14ac:dyDescent="0.25">
      <c r="A52" s="208"/>
      <c r="B52" s="167"/>
      <c r="C52" s="208"/>
      <c r="D52" s="54" t="s">
        <v>13</v>
      </c>
      <c r="E52" s="46">
        <f t="shared" si="20"/>
        <v>0</v>
      </c>
      <c r="F52" s="46">
        <f t="shared" si="19"/>
        <v>0</v>
      </c>
      <c r="G52" s="46">
        <f t="shared" si="19"/>
        <v>0</v>
      </c>
      <c r="H52" s="46">
        <f t="shared" si="19"/>
        <v>0</v>
      </c>
      <c r="I52" s="46">
        <f t="shared" si="19"/>
        <v>0</v>
      </c>
      <c r="J52" s="46">
        <f t="shared" si="19"/>
        <v>0</v>
      </c>
      <c r="K52" s="208"/>
      <c r="L52" s="208"/>
      <c r="M52" s="208"/>
      <c r="N52" s="208"/>
      <c r="O52" s="208"/>
      <c r="P52" s="208"/>
      <c r="Q52" s="162"/>
      <c r="R52" s="28"/>
    </row>
    <row r="53" spans="1:18" x14ac:dyDescent="0.25">
      <c r="A53" s="209"/>
      <c r="B53" s="168"/>
      <c r="C53" s="209"/>
      <c r="D53" s="54" t="s">
        <v>14</v>
      </c>
      <c r="E53" s="46">
        <f t="shared" si="20"/>
        <v>0</v>
      </c>
      <c r="F53" s="46">
        <f t="shared" si="19"/>
        <v>0</v>
      </c>
      <c r="G53" s="46">
        <f t="shared" si="19"/>
        <v>0</v>
      </c>
      <c r="H53" s="46">
        <f t="shared" si="19"/>
        <v>0</v>
      </c>
      <c r="I53" s="46">
        <f t="shared" si="19"/>
        <v>0</v>
      </c>
      <c r="J53" s="46">
        <f t="shared" si="19"/>
        <v>0</v>
      </c>
      <c r="K53" s="209"/>
      <c r="L53" s="209"/>
      <c r="M53" s="209"/>
      <c r="N53" s="209"/>
      <c r="O53" s="209"/>
      <c r="P53" s="209"/>
      <c r="Q53" s="163"/>
      <c r="R53" s="28"/>
    </row>
    <row r="54" spans="1:18" x14ac:dyDescent="0.25">
      <c r="A54" s="239"/>
      <c r="B54" s="213" t="s">
        <v>345</v>
      </c>
      <c r="C54" s="239"/>
      <c r="D54" s="54" t="s">
        <v>9</v>
      </c>
      <c r="E54" s="46">
        <f>SUM(E55:E59)</f>
        <v>22666.7</v>
      </c>
      <c r="F54" s="46">
        <f t="shared" ref="F54:J54" si="21">SUM(F55:F59)</f>
        <v>4258</v>
      </c>
      <c r="G54" s="46">
        <f t="shared" si="21"/>
        <v>4570</v>
      </c>
      <c r="H54" s="46">
        <f t="shared" si="21"/>
        <v>4596.5</v>
      </c>
      <c r="I54" s="46">
        <f t="shared" si="21"/>
        <v>4621.1000000000004</v>
      </c>
      <c r="J54" s="46">
        <f t="shared" si="21"/>
        <v>4621.1000000000004</v>
      </c>
      <c r="K54" s="207"/>
      <c r="L54" s="207"/>
      <c r="M54" s="207"/>
      <c r="N54" s="207"/>
      <c r="O54" s="207"/>
      <c r="P54" s="207"/>
      <c r="Q54" s="161"/>
      <c r="R54" s="28"/>
    </row>
    <row r="55" spans="1:18" x14ac:dyDescent="0.25">
      <c r="A55" s="239"/>
      <c r="B55" s="213"/>
      <c r="C55" s="239"/>
      <c r="D55" s="155" t="s">
        <v>10</v>
      </c>
      <c r="E55" s="156"/>
      <c r="F55" s="156"/>
      <c r="G55" s="156"/>
      <c r="H55" s="156"/>
      <c r="I55" s="156"/>
      <c r="J55" s="157"/>
      <c r="K55" s="208"/>
      <c r="L55" s="208"/>
      <c r="M55" s="208"/>
      <c r="N55" s="208"/>
      <c r="O55" s="208"/>
      <c r="P55" s="208"/>
      <c r="Q55" s="162"/>
      <c r="R55" s="28"/>
    </row>
    <row r="56" spans="1:18" x14ac:dyDescent="0.25">
      <c r="A56" s="239"/>
      <c r="B56" s="213"/>
      <c r="C56" s="239"/>
      <c r="D56" s="54" t="s">
        <v>11</v>
      </c>
      <c r="E56" s="46">
        <f>SUM(F56:J56)</f>
        <v>13721.412</v>
      </c>
      <c r="F56" s="46">
        <f>F24+F37+F50</f>
        <v>2580.7719999999999</v>
      </c>
      <c r="G56" s="46">
        <f t="shared" ref="G56:J56" si="22">G24+G37+G50</f>
        <v>2783.5349999999999</v>
      </c>
      <c r="H56" s="46">
        <f t="shared" si="22"/>
        <v>2784.835</v>
      </c>
      <c r="I56" s="46">
        <f t="shared" si="22"/>
        <v>2786.1350000000002</v>
      </c>
      <c r="J56" s="46">
        <f t="shared" si="22"/>
        <v>2786.1350000000002</v>
      </c>
      <c r="K56" s="208"/>
      <c r="L56" s="208"/>
      <c r="M56" s="208"/>
      <c r="N56" s="208"/>
      <c r="O56" s="208"/>
      <c r="P56" s="208"/>
      <c r="Q56" s="162"/>
      <c r="R56" s="28"/>
    </row>
    <row r="57" spans="1:18" x14ac:dyDescent="0.25">
      <c r="A57" s="239"/>
      <c r="B57" s="213"/>
      <c r="C57" s="239"/>
      <c r="D57" s="54" t="s">
        <v>12</v>
      </c>
      <c r="E57" s="46">
        <f t="shared" ref="E57:E59" si="23">SUM(F57:J57)</f>
        <v>8945.2880000000005</v>
      </c>
      <c r="F57" s="46">
        <f t="shared" ref="F57:J59" si="24">F25+F38+F51</f>
        <v>1677.2280000000001</v>
      </c>
      <c r="G57" s="46">
        <f t="shared" si="24"/>
        <v>1786.4650000000001</v>
      </c>
      <c r="H57" s="46">
        <f t="shared" si="24"/>
        <v>1811.665</v>
      </c>
      <c r="I57" s="46">
        <f t="shared" si="24"/>
        <v>1834.9650000000001</v>
      </c>
      <c r="J57" s="46">
        <f t="shared" si="24"/>
        <v>1834.9650000000001</v>
      </c>
      <c r="K57" s="208"/>
      <c r="L57" s="208"/>
      <c r="M57" s="208"/>
      <c r="N57" s="208"/>
      <c r="O57" s="208"/>
      <c r="P57" s="208"/>
      <c r="Q57" s="162"/>
      <c r="R57" s="28"/>
    </row>
    <row r="58" spans="1:18" x14ac:dyDescent="0.25">
      <c r="A58" s="239"/>
      <c r="B58" s="213"/>
      <c r="C58" s="239"/>
      <c r="D58" s="54" t="s">
        <v>13</v>
      </c>
      <c r="E58" s="46">
        <f t="shared" si="23"/>
        <v>0</v>
      </c>
      <c r="F58" s="46">
        <f t="shared" si="24"/>
        <v>0</v>
      </c>
      <c r="G58" s="46">
        <f t="shared" si="24"/>
        <v>0</v>
      </c>
      <c r="H58" s="46">
        <f t="shared" si="24"/>
        <v>0</v>
      </c>
      <c r="I58" s="46">
        <f t="shared" si="24"/>
        <v>0</v>
      </c>
      <c r="J58" s="46">
        <f t="shared" si="24"/>
        <v>0</v>
      </c>
      <c r="K58" s="208"/>
      <c r="L58" s="208"/>
      <c r="M58" s="208"/>
      <c r="N58" s="208"/>
      <c r="O58" s="208"/>
      <c r="P58" s="208"/>
      <c r="Q58" s="162"/>
      <c r="R58" s="28"/>
    </row>
    <row r="59" spans="1:18" x14ac:dyDescent="0.25">
      <c r="A59" s="239"/>
      <c r="B59" s="213"/>
      <c r="C59" s="239"/>
      <c r="D59" s="54" t="s">
        <v>14</v>
      </c>
      <c r="E59" s="46">
        <f t="shared" si="23"/>
        <v>0</v>
      </c>
      <c r="F59" s="46">
        <f t="shared" si="24"/>
        <v>0</v>
      </c>
      <c r="G59" s="46">
        <f t="shared" si="24"/>
        <v>0</v>
      </c>
      <c r="H59" s="46">
        <f t="shared" si="24"/>
        <v>0</v>
      </c>
      <c r="I59" s="46">
        <f t="shared" si="24"/>
        <v>0</v>
      </c>
      <c r="J59" s="46">
        <f t="shared" si="24"/>
        <v>0</v>
      </c>
      <c r="K59" s="209"/>
      <c r="L59" s="209"/>
      <c r="M59" s="209"/>
      <c r="N59" s="209"/>
      <c r="O59" s="209"/>
      <c r="P59" s="209"/>
      <c r="Q59" s="163"/>
      <c r="R59" s="28"/>
    </row>
    <row r="60" spans="1:18" x14ac:dyDescent="0.25">
      <c r="A60" s="120"/>
      <c r="B60" s="28" t="s">
        <v>17</v>
      </c>
      <c r="C60" s="28"/>
      <c r="D60" s="28"/>
      <c r="E60" s="28"/>
      <c r="F60" s="28"/>
      <c r="G60" s="28"/>
      <c r="H60" s="28"/>
      <c r="I60" s="28"/>
      <c r="J60" s="28"/>
      <c r="K60" s="28"/>
      <c r="L60" s="28"/>
      <c r="M60" s="28"/>
      <c r="N60" s="28"/>
      <c r="O60" s="28"/>
      <c r="P60" s="28"/>
      <c r="Q60" s="59"/>
      <c r="R60" s="28"/>
    </row>
    <row r="61" spans="1:18" ht="30" customHeight="1" x14ac:dyDescent="0.25">
      <c r="A61" s="120"/>
      <c r="B61" s="240" t="s">
        <v>18</v>
      </c>
      <c r="C61" s="240"/>
      <c r="D61" s="240"/>
      <c r="E61" s="240"/>
      <c r="F61" s="240"/>
      <c r="G61" s="240"/>
      <c r="H61" s="240"/>
      <c r="I61" s="240"/>
      <c r="J61" s="240"/>
      <c r="K61" s="240"/>
      <c r="L61" s="240"/>
      <c r="M61" s="240"/>
      <c r="N61" s="240"/>
      <c r="O61" s="240"/>
      <c r="P61" s="240"/>
      <c r="Q61" s="240"/>
      <c r="R61" s="28"/>
    </row>
    <row r="62" spans="1:18" x14ac:dyDescent="0.25">
      <c r="A62" s="120"/>
      <c r="B62" s="241" t="s">
        <v>19</v>
      </c>
      <c r="C62" s="241"/>
      <c r="D62" s="241"/>
      <c r="E62" s="241"/>
      <c r="F62" s="241"/>
      <c r="G62" s="241"/>
      <c r="H62" s="241"/>
      <c r="I62" s="241"/>
      <c r="J62" s="241"/>
      <c r="K62" s="241"/>
      <c r="L62" s="241"/>
      <c r="M62" s="241"/>
      <c r="N62" s="241"/>
      <c r="O62" s="241"/>
      <c r="P62" s="241"/>
      <c r="Q62" s="241"/>
      <c r="R62" s="28"/>
    </row>
    <row r="63" spans="1:18" x14ac:dyDescent="0.25">
      <c r="A63" s="120"/>
      <c r="B63" s="28"/>
      <c r="C63" s="28"/>
      <c r="D63" s="28"/>
      <c r="E63" s="28"/>
      <c r="F63" s="28"/>
      <c r="G63" s="28"/>
      <c r="H63" s="28"/>
      <c r="I63" s="28"/>
      <c r="J63" s="28"/>
      <c r="K63" s="28"/>
      <c r="L63" s="28"/>
      <c r="M63" s="28"/>
      <c r="N63" s="28"/>
      <c r="O63" s="28"/>
      <c r="P63" s="28"/>
      <c r="Q63" s="59"/>
      <c r="R63" s="28"/>
    </row>
    <row r="64" spans="1:18" x14ac:dyDescent="0.25">
      <c r="A64" s="120"/>
      <c r="B64" s="28"/>
      <c r="C64" s="28"/>
      <c r="D64" s="28"/>
      <c r="E64" s="28"/>
      <c r="F64" s="193" t="s">
        <v>346</v>
      </c>
      <c r="G64" s="193"/>
      <c r="H64" s="193"/>
      <c r="I64" s="193"/>
      <c r="J64" s="28"/>
      <c r="K64" s="28"/>
      <c r="L64" s="28"/>
      <c r="M64" s="28"/>
      <c r="N64" s="28"/>
      <c r="O64" s="28"/>
      <c r="P64" s="28"/>
      <c r="Q64" s="59"/>
      <c r="R64" s="28"/>
    </row>
    <row r="65" spans="1:18" x14ac:dyDescent="0.25">
      <c r="A65" s="120"/>
      <c r="B65" s="28"/>
      <c r="C65" s="28"/>
      <c r="D65" s="28"/>
      <c r="E65" s="28"/>
      <c r="F65" s="28"/>
      <c r="G65" s="28"/>
      <c r="H65" s="28"/>
      <c r="I65" s="28"/>
      <c r="J65" s="28"/>
      <c r="K65" s="28"/>
      <c r="L65" s="28"/>
      <c r="M65" s="28"/>
      <c r="N65" s="28"/>
      <c r="O65" s="28"/>
      <c r="P65" s="28"/>
      <c r="Q65" s="59"/>
      <c r="R65" s="28"/>
    </row>
    <row r="66" spans="1:18" x14ac:dyDescent="0.25">
      <c r="A66" s="120"/>
      <c r="B66" s="28"/>
      <c r="C66" s="28"/>
      <c r="D66" s="28"/>
      <c r="E66" s="28"/>
      <c r="F66" s="28"/>
      <c r="G66" s="28"/>
      <c r="H66" s="28"/>
      <c r="I66" s="28"/>
      <c r="J66" s="28"/>
      <c r="K66" s="28"/>
      <c r="L66" s="28"/>
      <c r="M66" s="28"/>
      <c r="N66" s="28"/>
      <c r="O66" s="28"/>
      <c r="P66" s="28"/>
      <c r="Q66" s="59"/>
      <c r="R66" s="28"/>
    </row>
    <row r="67" spans="1:18" x14ac:dyDescent="0.25">
      <c r="A67" s="28"/>
      <c r="B67" s="28"/>
      <c r="C67" s="28"/>
      <c r="D67" s="28"/>
      <c r="E67" s="28"/>
      <c r="F67" s="28"/>
      <c r="G67" s="28"/>
      <c r="H67" s="28"/>
      <c r="I67" s="28"/>
      <c r="J67" s="28"/>
      <c r="K67" s="28"/>
      <c r="L67" s="28"/>
      <c r="M67" s="28"/>
      <c r="N67" s="28"/>
      <c r="O67" s="28"/>
      <c r="P67" s="28"/>
      <c r="Q67" s="59"/>
      <c r="R67" s="28"/>
    </row>
    <row r="68" spans="1:18" x14ac:dyDescent="0.25">
      <c r="A68" s="28"/>
      <c r="B68" s="28"/>
      <c r="C68" s="28"/>
      <c r="D68" s="28"/>
      <c r="E68" s="28"/>
      <c r="F68" s="28"/>
      <c r="G68" s="28"/>
      <c r="H68" s="28"/>
      <c r="I68" s="28"/>
      <c r="J68" s="28"/>
      <c r="K68" s="28"/>
      <c r="L68" s="28"/>
      <c r="M68" s="28"/>
      <c r="N68" s="28"/>
      <c r="O68" s="28"/>
      <c r="P68" s="28"/>
      <c r="Q68" s="59"/>
      <c r="R68" s="28"/>
    </row>
    <row r="69" spans="1:18" x14ac:dyDescent="0.25">
      <c r="A69" s="28"/>
      <c r="B69" s="28"/>
      <c r="C69" s="28"/>
      <c r="D69" s="28"/>
      <c r="E69" s="28"/>
      <c r="F69" s="28"/>
      <c r="G69" s="28"/>
      <c r="H69" s="28"/>
      <c r="I69" s="28"/>
      <c r="J69" s="28"/>
      <c r="K69" s="28"/>
      <c r="L69" s="28"/>
      <c r="M69" s="28"/>
      <c r="N69" s="28"/>
      <c r="O69" s="28"/>
      <c r="P69" s="28"/>
      <c r="Q69" s="59"/>
      <c r="R69" s="28"/>
    </row>
  </sheetData>
  <mergeCells count="105">
    <mergeCell ref="F64:I64"/>
    <mergeCell ref="O54:O59"/>
    <mergeCell ref="P54:P59"/>
    <mergeCell ref="Q54:Q59"/>
    <mergeCell ref="D55:J55"/>
    <mergeCell ref="B61:Q61"/>
    <mergeCell ref="B62:Q62"/>
    <mergeCell ref="P48:P53"/>
    <mergeCell ref="Q48:Q53"/>
    <mergeCell ref="D49:J49"/>
    <mergeCell ref="A54:A59"/>
    <mergeCell ref="B54:B59"/>
    <mergeCell ref="C54:C59"/>
    <mergeCell ref="K54:K59"/>
    <mergeCell ref="L54:L59"/>
    <mergeCell ref="M54:M59"/>
    <mergeCell ref="N54:N59"/>
    <mergeCell ref="Q42:Q47"/>
    <mergeCell ref="D43:J43"/>
    <mergeCell ref="A48:A53"/>
    <mergeCell ref="B48:B53"/>
    <mergeCell ref="C48:C53"/>
    <mergeCell ref="K48:K53"/>
    <mergeCell ref="L48:L53"/>
    <mergeCell ref="M48:M53"/>
    <mergeCell ref="N48:N53"/>
    <mergeCell ref="O48:O53"/>
    <mergeCell ref="Q29:Q34"/>
    <mergeCell ref="D30:J30"/>
    <mergeCell ref="M29:M34"/>
    <mergeCell ref="B41:Q41"/>
    <mergeCell ref="A42:A47"/>
    <mergeCell ref="B42:B47"/>
    <mergeCell ref="C42:C47"/>
    <mergeCell ref="K42:K47"/>
    <mergeCell ref="L42:L47"/>
    <mergeCell ref="M42:M47"/>
    <mergeCell ref="N42:N47"/>
    <mergeCell ref="O42:O47"/>
    <mergeCell ref="P42:P47"/>
    <mergeCell ref="B28:Q28"/>
    <mergeCell ref="O16:O21"/>
    <mergeCell ref="P16:P21"/>
    <mergeCell ref="Q16:Q21"/>
    <mergeCell ref="D17:J17"/>
    <mergeCell ref="A35:A40"/>
    <mergeCell ref="B35:B40"/>
    <mergeCell ref="C35:C40"/>
    <mergeCell ref="K35:K40"/>
    <mergeCell ref="L35:L40"/>
    <mergeCell ref="A29:A34"/>
    <mergeCell ref="B29:B34"/>
    <mergeCell ref="C29:C34"/>
    <mergeCell ref="K29:K34"/>
    <mergeCell ref="L29:L34"/>
    <mergeCell ref="M35:M40"/>
    <mergeCell ref="N35:N40"/>
    <mergeCell ref="O35:O40"/>
    <mergeCell ref="P35:P40"/>
    <mergeCell ref="Q35:Q40"/>
    <mergeCell ref="D36:J36"/>
    <mergeCell ref="N29:N34"/>
    <mergeCell ref="O29:O34"/>
    <mergeCell ref="P29:P34"/>
    <mergeCell ref="A22:A27"/>
    <mergeCell ref="B22:B27"/>
    <mergeCell ref="C22:C27"/>
    <mergeCell ref="K22:K27"/>
    <mergeCell ref="L22:L27"/>
    <mergeCell ref="M22:M27"/>
    <mergeCell ref="P10:P15"/>
    <mergeCell ref="Q10:Q15"/>
    <mergeCell ref="D11:J11"/>
    <mergeCell ref="A16:A21"/>
    <mergeCell ref="B16:B21"/>
    <mergeCell ref="C16:C21"/>
    <mergeCell ref="K16:K21"/>
    <mergeCell ref="L16:L21"/>
    <mergeCell ref="M16:M21"/>
    <mergeCell ref="N16:N21"/>
    <mergeCell ref="N22:N27"/>
    <mergeCell ref="O22:O27"/>
    <mergeCell ref="P22:P27"/>
    <mergeCell ref="Q22:Q27"/>
    <mergeCell ref="D23:J23"/>
    <mergeCell ref="B8:Q8"/>
    <mergeCell ref="B9:Q9"/>
    <mergeCell ref="A10:A15"/>
    <mergeCell ref="B10:B15"/>
    <mergeCell ref="C10:C15"/>
    <mergeCell ref="K10:K15"/>
    <mergeCell ref="L10:L15"/>
    <mergeCell ref="M10:M15"/>
    <mergeCell ref="N10:N15"/>
    <mergeCell ref="O10:O15"/>
    <mergeCell ref="O1:Q1"/>
    <mergeCell ref="J2:Q2"/>
    <mergeCell ref="A3:Q3"/>
    <mergeCell ref="A5:A6"/>
    <mergeCell ref="B5:B6"/>
    <mergeCell ref="C5:C6"/>
    <mergeCell ref="D5:D6"/>
    <mergeCell ref="E5:J5"/>
    <mergeCell ref="K5:P5"/>
    <mergeCell ref="Q5:Q6"/>
  </mergeCells>
  <pageMargins left="0.31496062992125984" right="0.31496062992125984" top="0.74803149606299213" bottom="0.55118110236220474" header="0.31496062992125984" footer="0.31496062992125984"/>
  <pageSetup paperSize="9" scale="72" firstPageNumber="22" fitToHeight="0" orientation="landscape" useFirstPageNumber="1" r:id="rId1"/>
  <rowBreaks count="1" manualBreakCount="1">
    <brk id="4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view="pageBreakPreview" zoomScale="115" zoomScaleNormal="100" zoomScaleSheetLayoutView="115" workbookViewId="0">
      <selection activeCell="D5" sqref="D5"/>
    </sheetView>
  </sheetViews>
  <sheetFormatPr defaultRowHeight="15" x14ac:dyDescent="0.25"/>
  <cols>
    <col min="1" max="1" width="3" customWidth="1"/>
    <col min="2" max="2" width="37.140625" customWidth="1"/>
    <col min="3" max="8" width="11.5703125" style="2" customWidth="1"/>
  </cols>
  <sheetData>
    <row r="1" spans="1:8" x14ac:dyDescent="0.25">
      <c r="D1" s="264" t="s">
        <v>155</v>
      </c>
      <c r="E1" s="264"/>
      <c r="F1" s="264"/>
      <c r="G1" s="264"/>
      <c r="H1" s="264"/>
    </row>
    <row r="2" spans="1:8" ht="18" customHeight="1" x14ac:dyDescent="0.25">
      <c r="A2" s="265" t="s">
        <v>389</v>
      </c>
      <c r="B2" s="265"/>
      <c r="C2" s="265"/>
      <c r="D2" s="265"/>
      <c r="E2" s="265"/>
      <c r="F2" s="265"/>
      <c r="G2" s="265"/>
      <c r="H2" s="265"/>
    </row>
    <row r="3" spans="1:8" ht="52.5" customHeight="1" x14ac:dyDescent="0.25">
      <c r="A3" s="228" t="s">
        <v>347</v>
      </c>
      <c r="B3" s="228"/>
      <c r="C3" s="228"/>
      <c r="D3" s="228"/>
      <c r="E3" s="228"/>
      <c r="F3" s="228"/>
      <c r="G3" s="228"/>
      <c r="H3" s="228"/>
    </row>
    <row r="4" spans="1:8" x14ac:dyDescent="0.25">
      <c r="A4" s="217" t="s">
        <v>116</v>
      </c>
      <c r="B4" s="217"/>
      <c r="C4" s="217"/>
      <c r="D4" s="217"/>
      <c r="E4" s="217"/>
      <c r="F4" s="217"/>
      <c r="G4" s="217"/>
      <c r="H4" s="217"/>
    </row>
    <row r="5" spans="1:8" ht="18.600000000000001" thickBot="1" x14ac:dyDescent="0.35">
      <c r="A5" s="7"/>
    </row>
    <row r="6" spans="1:8" ht="15.75" x14ac:dyDescent="0.25">
      <c r="A6" s="218" t="s">
        <v>117</v>
      </c>
      <c r="B6" s="219"/>
      <c r="C6" s="127" t="s">
        <v>118</v>
      </c>
      <c r="D6" s="266" t="s">
        <v>119</v>
      </c>
      <c r="E6" s="267"/>
      <c r="F6" s="267"/>
      <c r="G6" s="267"/>
      <c r="H6" s="268"/>
    </row>
    <row r="7" spans="1:8" ht="16.5" thickBot="1" x14ac:dyDescent="0.3">
      <c r="A7" s="220"/>
      <c r="B7" s="221"/>
      <c r="C7" s="128" t="s">
        <v>25</v>
      </c>
      <c r="D7" s="269" t="s">
        <v>120</v>
      </c>
      <c r="E7" s="270"/>
      <c r="F7" s="270"/>
      <c r="G7" s="270"/>
      <c r="H7" s="271"/>
    </row>
    <row r="8" spans="1:8" ht="16.5" thickBot="1" x14ac:dyDescent="0.3">
      <c r="A8" s="222"/>
      <c r="B8" s="223"/>
      <c r="C8" s="129"/>
      <c r="D8" s="130" t="s">
        <v>164</v>
      </c>
      <c r="E8" s="130" t="s">
        <v>165</v>
      </c>
      <c r="F8" s="130" t="s">
        <v>166</v>
      </c>
      <c r="G8" s="130" t="s">
        <v>167</v>
      </c>
      <c r="H8" s="130" t="s">
        <v>168</v>
      </c>
    </row>
    <row r="9" spans="1:8" ht="16.149999999999999" thickBot="1" x14ac:dyDescent="0.35">
      <c r="A9" s="229">
        <v>1</v>
      </c>
      <c r="B9" s="230"/>
      <c r="C9" s="131">
        <v>2</v>
      </c>
      <c r="D9" s="131">
        <v>3</v>
      </c>
      <c r="E9" s="131">
        <v>4</v>
      </c>
      <c r="F9" s="131">
        <v>5</v>
      </c>
      <c r="G9" s="131">
        <v>6</v>
      </c>
      <c r="H9" s="131">
        <v>7</v>
      </c>
    </row>
    <row r="10" spans="1:8" s="1" customFormat="1" ht="76.5" customHeight="1" thickBot="1" x14ac:dyDescent="0.3">
      <c r="A10" s="244" t="s">
        <v>148</v>
      </c>
      <c r="B10" s="245"/>
      <c r="C10" s="35">
        <f>SUM(D10:H10)</f>
        <v>22666.699999999997</v>
      </c>
      <c r="D10" s="35">
        <f>SUM(D12:D15)</f>
        <v>4258</v>
      </c>
      <c r="E10" s="35">
        <f t="shared" ref="E10:H10" si="0">SUM(E12:E15)</f>
        <v>4570</v>
      </c>
      <c r="F10" s="35">
        <f t="shared" si="0"/>
        <v>4596.5</v>
      </c>
      <c r="G10" s="35">
        <f t="shared" si="0"/>
        <v>4621.1000000000004</v>
      </c>
      <c r="H10" s="35">
        <f t="shared" si="0"/>
        <v>4621.1000000000004</v>
      </c>
    </row>
    <row r="11" spans="1:8" ht="16.5" thickBot="1" x14ac:dyDescent="0.3">
      <c r="A11" s="12"/>
      <c r="B11" s="13" t="s">
        <v>122</v>
      </c>
      <c r="C11" s="33"/>
      <c r="D11" s="33"/>
      <c r="E11" s="33"/>
      <c r="F11" s="33"/>
      <c r="G11" s="33"/>
      <c r="H11" s="33"/>
    </row>
    <row r="12" spans="1:8" ht="32.25" thickBot="1" x14ac:dyDescent="0.3">
      <c r="A12" s="14"/>
      <c r="B12" s="15" t="s">
        <v>123</v>
      </c>
      <c r="C12" s="36">
        <f>SUM(D12:H12)</f>
        <v>13721.412</v>
      </c>
      <c r="D12" s="36">
        <f>'ПОМ ПП 4'!F56</f>
        <v>2580.7719999999999</v>
      </c>
      <c r="E12" s="36">
        <f>'ПОМ ПП 4'!G56</f>
        <v>2783.5349999999999</v>
      </c>
      <c r="F12" s="36">
        <f>'ПОМ ПП 4'!H56</f>
        <v>2784.835</v>
      </c>
      <c r="G12" s="36">
        <f>'ПОМ ПП 4'!I56</f>
        <v>2786.1350000000002</v>
      </c>
      <c r="H12" s="36">
        <f>'ПОМ ПП 4'!J56</f>
        <v>2786.1350000000002</v>
      </c>
    </row>
    <row r="13" spans="1:8" ht="16.5" thickBot="1" x14ac:dyDescent="0.3">
      <c r="A13" s="16"/>
      <c r="B13" s="16" t="s">
        <v>124</v>
      </c>
      <c r="C13" s="36">
        <f t="shared" ref="C13:C15" si="1">SUM(D13:H13)</f>
        <v>8945.2880000000005</v>
      </c>
      <c r="D13" s="36">
        <f>'ПОМ ПП 4'!F57</f>
        <v>1677.2280000000001</v>
      </c>
      <c r="E13" s="36">
        <f>'ПОМ ПП 4'!G57</f>
        <v>1786.4650000000001</v>
      </c>
      <c r="F13" s="36">
        <f>'ПОМ ПП 4'!H57</f>
        <v>1811.665</v>
      </c>
      <c r="G13" s="36">
        <f>'ПОМ ПП 4'!I57</f>
        <v>1834.9650000000001</v>
      </c>
      <c r="H13" s="36">
        <f>'ПОМ ПП 4'!J57</f>
        <v>1834.9650000000001</v>
      </c>
    </row>
    <row r="14" spans="1:8" ht="16.5" thickBot="1" x14ac:dyDescent="0.3">
      <c r="A14" s="16"/>
      <c r="B14" s="13" t="s">
        <v>125</v>
      </c>
      <c r="C14" s="36">
        <f t="shared" si="1"/>
        <v>0</v>
      </c>
      <c r="D14" s="36">
        <f>'ПОМ ПП 4'!F58</f>
        <v>0</v>
      </c>
      <c r="E14" s="36">
        <f>'ПОМ ПП 4'!G58</f>
        <v>0</v>
      </c>
      <c r="F14" s="36">
        <f>'ПОМ ПП 4'!H58</f>
        <v>0</v>
      </c>
      <c r="G14" s="36">
        <f>'ПОМ ПП 4'!I58</f>
        <v>0</v>
      </c>
      <c r="H14" s="36">
        <f>'ПОМ ПП 4'!J58</f>
        <v>0</v>
      </c>
    </row>
    <row r="15" spans="1:8" ht="16.5" thickBot="1" x14ac:dyDescent="0.3">
      <c r="A15" s="17"/>
      <c r="B15" s="13" t="s">
        <v>126</v>
      </c>
      <c r="C15" s="30">
        <f t="shared" si="1"/>
        <v>0</v>
      </c>
      <c r="D15" s="36">
        <f>'ПОМ ПП 4'!F59</f>
        <v>0</v>
      </c>
      <c r="E15" s="36">
        <f>'ПОМ ПП 4'!G59</f>
        <v>0</v>
      </c>
      <c r="F15" s="36">
        <f>'ПОМ ПП 4'!H59</f>
        <v>0</v>
      </c>
      <c r="G15" s="36">
        <f>'ПОМ ПП 4'!I59</f>
        <v>0</v>
      </c>
      <c r="H15" s="36">
        <f>'ПОМ ПП 4'!J59</f>
        <v>0</v>
      </c>
    </row>
    <row r="16" spans="1:8" s="135" customFormat="1" ht="16.5" thickBot="1" x14ac:dyDescent="0.3">
      <c r="A16" s="132"/>
      <c r="B16" s="133" t="s">
        <v>127</v>
      </c>
      <c r="C16" s="134">
        <f>SUM(D16:H16)</f>
        <v>22666.699999999997</v>
      </c>
      <c r="D16" s="37">
        <f>D10</f>
        <v>4258</v>
      </c>
      <c r="E16" s="37">
        <f t="shared" ref="E16:H16" si="2">E10</f>
        <v>4570</v>
      </c>
      <c r="F16" s="37">
        <f t="shared" si="2"/>
        <v>4596.5</v>
      </c>
      <c r="G16" s="37">
        <f t="shared" si="2"/>
        <v>4621.1000000000004</v>
      </c>
      <c r="H16" s="37">
        <f t="shared" si="2"/>
        <v>4621.1000000000004</v>
      </c>
    </row>
    <row r="19" spans="1:8" ht="30.75" customHeight="1" x14ac:dyDescent="0.25">
      <c r="A19" s="233" t="s">
        <v>138</v>
      </c>
      <c r="B19" s="233"/>
      <c r="C19" s="233"/>
      <c r="D19" s="233"/>
      <c r="E19" s="233"/>
      <c r="F19" s="233"/>
      <c r="G19" s="233"/>
      <c r="H19" s="233"/>
    </row>
    <row r="20" spans="1:8" x14ac:dyDescent="0.25">
      <c r="A20" s="233" t="s">
        <v>139</v>
      </c>
      <c r="B20" s="233"/>
      <c r="C20" s="233"/>
      <c r="D20" s="233"/>
      <c r="E20" s="233"/>
      <c r="F20" s="233"/>
      <c r="G20" s="233"/>
      <c r="H20" s="233"/>
    </row>
    <row r="21" spans="1:8" ht="66.75" customHeight="1" x14ac:dyDescent="0.25">
      <c r="A21" s="233" t="s">
        <v>140</v>
      </c>
      <c r="B21" s="233"/>
      <c r="C21" s="233"/>
      <c r="D21" s="233"/>
      <c r="E21" s="233"/>
      <c r="F21" s="233"/>
      <c r="G21" s="233"/>
      <c r="H21" s="233"/>
    </row>
  </sheetData>
  <mergeCells count="12">
    <mergeCell ref="A9:B9"/>
    <mergeCell ref="A10:B10"/>
    <mergeCell ref="A19:H19"/>
    <mergeCell ref="A20:H20"/>
    <mergeCell ref="A21:H21"/>
    <mergeCell ref="D1:H1"/>
    <mergeCell ref="A2:H2"/>
    <mergeCell ref="A3:H3"/>
    <mergeCell ref="A4:H4"/>
    <mergeCell ref="A6:B8"/>
    <mergeCell ref="D6:H6"/>
    <mergeCell ref="D7:H7"/>
  </mergeCells>
  <hyperlinks>
    <hyperlink ref="A4" location="_ftn1" display="_ftn1"/>
    <hyperlink ref="B16" location="_ftn2" display="_ftn2"/>
    <hyperlink ref="A19" location="_ftnref1" display="_ftnref1"/>
    <hyperlink ref="A20" location="_ftnref2" display="_ftnref2"/>
    <hyperlink ref="A21" location="_ftnref3" display="_ftnref3"/>
  </hyperlinks>
  <pageMargins left="0.70866141732283472" right="0.70866141732283472" top="0.74803149606299213" bottom="0.74803149606299213" header="0.31496062992125984" footer="0.31496062992125984"/>
  <pageSetup paperSize="9" scale="79" firstPageNumber="24" fitToHeight="0" orientation="portrait" useFirstPageNumber="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view="pageBreakPreview" zoomScale="85" zoomScaleNormal="85" zoomScaleSheetLayoutView="85" zoomScalePageLayoutView="85" workbookViewId="0">
      <selection activeCell="E19" sqref="E19"/>
    </sheetView>
  </sheetViews>
  <sheetFormatPr defaultColWidth="9.140625" defaultRowHeight="15" x14ac:dyDescent="0.25"/>
  <cols>
    <col min="1" max="1" width="6.28515625" style="29" customWidth="1"/>
    <col min="2" max="2" width="30" style="29" customWidth="1"/>
    <col min="3" max="3" width="10.5703125" style="29" customWidth="1"/>
    <col min="4" max="4" width="14.28515625" style="29" customWidth="1"/>
    <col min="5" max="6" width="10.28515625" style="29" bestFit="1" customWidth="1"/>
    <col min="7" max="8" width="10.28515625" style="29" customWidth="1"/>
    <col min="9" max="10" width="10.28515625" style="29" bestFit="1" customWidth="1"/>
    <col min="11" max="11" width="13" style="29" customWidth="1"/>
    <col min="12" max="16" width="8.85546875" style="29" customWidth="1"/>
    <col min="17" max="17" width="26.7109375" style="62" customWidth="1"/>
    <col min="18" max="16384" width="9.140625" style="29"/>
  </cols>
  <sheetData>
    <row r="1" spans="1:19" x14ac:dyDescent="0.25">
      <c r="A1" s="28"/>
      <c r="B1" s="28"/>
      <c r="C1" s="28"/>
      <c r="D1" s="28"/>
      <c r="E1" s="28"/>
      <c r="F1" s="28"/>
      <c r="G1" s="28"/>
      <c r="H1" s="28"/>
      <c r="I1" s="28"/>
      <c r="J1" s="28"/>
      <c r="K1" s="28"/>
      <c r="L1" s="28"/>
      <c r="M1" s="28"/>
      <c r="N1" s="28"/>
      <c r="O1" s="192" t="s">
        <v>328</v>
      </c>
      <c r="P1" s="192"/>
      <c r="Q1" s="192"/>
      <c r="R1" s="28"/>
    </row>
    <row r="2" spans="1:19" x14ac:dyDescent="0.25">
      <c r="A2" s="28"/>
      <c r="B2" s="28"/>
      <c r="C2" s="28"/>
      <c r="D2" s="28"/>
      <c r="E2" s="28"/>
      <c r="F2" s="28"/>
      <c r="G2" s="28"/>
      <c r="H2" s="28"/>
      <c r="I2" s="200" t="s">
        <v>389</v>
      </c>
      <c r="J2" s="238"/>
      <c r="K2" s="238"/>
      <c r="L2" s="238"/>
      <c r="M2" s="238"/>
      <c r="N2" s="238"/>
      <c r="O2" s="238"/>
      <c r="P2" s="238"/>
      <c r="Q2" s="238"/>
      <c r="R2" s="28"/>
    </row>
    <row r="3" spans="1:19" x14ac:dyDescent="0.25">
      <c r="A3" s="193" t="s">
        <v>310</v>
      </c>
      <c r="B3" s="193"/>
      <c r="C3" s="193"/>
      <c r="D3" s="193"/>
      <c r="E3" s="193"/>
      <c r="F3" s="193"/>
      <c r="G3" s="193"/>
      <c r="H3" s="193"/>
      <c r="I3" s="193"/>
      <c r="J3" s="193"/>
      <c r="K3" s="193"/>
      <c r="L3" s="193"/>
      <c r="M3" s="193"/>
      <c r="N3" s="193"/>
      <c r="O3" s="193"/>
      <c r="P3" s="193"/>
      <c r="Q3" s="193"/>
      <c r="R3" s="28"/>
    </row>
    <row r="4" spans="1:19" ht="15" customHeight="1" x14ac:dyDescent="0.25">
      <c r="A4" s="28"/>
      <c r="B4" s="28"/>
      <c r="C4" s="28"/>
      <c r="D4" s="28"/>
      <c r="E4" s="28"/>
      <c r="F4" s="28"/>
      <c r="G4" s="28"/>
      <c r="H4" s="28"/>
      <c r="I4" s="28"/>
      <c r="J4" s="28"/>
      <c r="K4" s="28"/>
      <c r="L4" s="28"/>
      <c r="M4" s="28"/>
      <c r="N4" s="28"/>
      <c r="O4" s="28"/>
      <c r="P4" s="28"/>
      <c r="Q4" s="59"/>
      <c r="R4" s="28"/>
    </row>
    <row r="5" spans="1:19" ht="27.75" customHeight="1" x14ac:dyDescent="0.25">
      <c r="A5" s="164" t="s">
        <v>0</v>
      </c>
      <c r="B5" s="164" t="s">
        <v>1</v>
      </c>
      <c r="C5" s="164" t="s">
        <v>2</v>
      </c>
      <c r="D5" s="164" t="s">
        <v>143</v>
      </c>
      <c r="E5" s="165" t="s">
        <v>3</v>
      </c>
      <c r="F5" s="165"/>
      <c r="G5" s="165"/>
      <c r="H5" s="165"/>
      <c r="I5" s="165"/>
      <c r="J5" s="165"/>
      <c r="K5" s="164" t="s">
        <v>5</v>
      </c>
      <c r="L5" s="164"/>
      <c r="M5" s="164"/>
      <c r="N5" s="164"/>
      <c r="O5" s="164"/>
      <c r="P5" s="164"/>
      <c r="Q5" s="164" t="s">
        <v>144</v>
      </c>
      <c r="R5" s="28"/>
    </row>
    <row r="6" spans="1:19" ht="35.25" customHeight="1" x14ac:dyDescent="0.25">
      <c r="A6" s="164"/>
      <c r="B6" s="164"/>
      <c r="C6" s="164"/>
      <c r="D6" s="164"/>
      <c r="E6" s="143" t="s">
        <v>4</v>
      </c>
      <c r="F6" s="143" t="s">
        <v>164</v>
      </c>
      <c r="G6" s="143" t="s">
        <v>165</v>
      </c>
      <c r="H6" s="143" t="s">
        <v>166</v>
      </c>
      <c r="I6" s="143" t="s">
        <v>167</v>
      </c>
      <c r="J6" s="143" t="s">
        <v>168</v>
      </c>
      <c r="K6" s="142" t="s">
        <v>6</v>
      </c>
      <c r="L6" s="143" t="s">
        <v>164</v>
      </c>
      <c r="M6" s="143" t="s">
        <v>165</v>
      </c>
      <c r="N6" s="143" t="s">
        <v>166</v>
      </c>
      <c r="O6" s="143" t="s">
        <v>167</v>
      </c>
      <c r="P6" s="143" t="s">
        <v>168</v>
      </c>
      <c r="Q6" s="164"/>
      <c r="R6" s="52"/>
      <c r="S6" s="60"/>
    </row>
    <row r="7" spans="1:19" ht="15" customHeight="1" x14ac:dyDescent="0.25">
      <c r="A7" s="144">
        <v>1</v>
      </c>
      <c r="B7" s="144">
        <v>2</v>
      </c>
      <c r="C7" s="144">
        <v>3</v>
      </c>
      <c r="D7" s="144">
        <v>4</v>
      </c>
      <c r="E7" s="144">
        <v>5</v>
      </c>
      <c r="F7" s="144">
        <v>6</v>
      </c>
      <c r="G7" s="144">
        <v>7</v>
      </c>
      <c r="H7" s="144">
        <v>8</v>
      </c>
      <c r="I7" s="144">
        <v>9</v>
      </c>
      <c r="J7" s="144">
        <v>10</v>
      </c>
      <c r="K7" s="144">
        <v>11</v>
      </c>
      <c r="L7" s="144">
        <v>12</v>
      </c>
      <c r="M7" s="144">
        <v>13</v>
      </c>
      <c r="N7" s="144">
        <v>14</v>
      </c>
      <c r="O7" s="144">
        <v>15</v>
      </c>
      <c r="P7" s="144">
        <v>16</v>
      </c>
      <c r="Q7" s="144">
        <v>17</v>
      </c>
      <c r="R7" s="28"/>
    </row>
    <row r="8" spans="1:19" ht="15.75" customHeight="1" x14ac:dyDescent="0.25">
      <c r="A8" s="144"/>
      <c r="B8" s="234" t="s">
        <v>384</v>
      </c>
      <c r="C8" s="235"/>
      <c r="D8" s="235"/>
      <c r="E8" s="235"/>
      <c r="F8" s="235"/>
      <c r="G8" s="235"/>
      <c r="H8" s="235"/>
      <c r="I8" s="235"/>
      <c r="J8" s="235"/>
      <c r="K8" s="235"/>
      <c r="L8" s="235"/>
      <c r="M8" s="235"/>
      <c r="N8" s="235"/>
      <c r="O8" s="235"/>
      <c r="P8" s="235"/>
      <c r="Q8" s="236"/>
      <c r="R8" s="28"/>
    </row>
    <row r="9" spans="1:19" ht="14.45" customHeight="1" x14ac:dyDescent="0.25">
      <c r="A9" s="140">
        <v>1</v>
      </c>
      <c r="B9" s="234" t="s">
        <v>385</v>
      </c>
      <c r="C9" s="235"/>
      <c r="D9" s="235"/>
      <c r="E9" s="235"/>
      <c r="F9" s="235"/>
      <c r="G9" s="235"/>
      <c r="H9" s="235"/>
      <c r="I9" s="235"/>
      <c r="J9" s="235"/>
      <c r="K9" s="235"/>
      <c r="L9" s="235"/>
      <c r="M9" s="235"/>
      <c r="N9" s="235"/>
      <c r="O9" s="235"/>
      <c r="P9" s="235"/>
      <c r="Q9" s="236"/>
      <c r="R9" s="28"/>
    </row>
    <row r="10" spans="1:19" ht="25.5" customHeight="1" x14ac:dyDescent="0.25">
      <c r="A10" s="237" t="s">
        <v>8</v>
      </c>
      <c r="B10" s="158" t="s">
        <v>311</v>
      </c>
      <c r="C10" s="158" t="s">
        <v>287</v>
      </c>
      <c r="D10" s="54" t="s">
        <v>9</v>
      </c>
      <c r="E10" s="46">
        <f t="shared" ref="E10:J10" si="0">SUM(E11:E15)</f>
        <v>6434.5410000000002</v>
      </c>
      <c r="F10" s="46">
        <f t="shared" si="0"/>
        <v>0</v>
      </c>
      <c r="G10" s="46">
        <f t="shared" si="0"/>
        <v>830.20500000000004</v>
      </c>
      <c r="H10" s="46">
        <f t="shared" si="0"/>
        <v>1868.1119999999999</v>
      </c>
      <c r="I10" s="46">
        <f t="shared" si="0"/>
        <v>1868.1119999999999</v>
      </c>
      <c r="J10" s="46">
        <f t="shared" si="0"/>
        <v>1868.1119999999999</v>
      </c>
      <c r="K10" s="145"/>
      <c r="L10" s="144"/>
      <c r="M10" s="61"/>
      <c r="N10" s="61"/>
      <c r="O10" s="61"/>
      <c r="P10" s="61"/>
      <c r="Q10" s="158" t="s">
        <v>83</v>
      </c>
      <c r="R10" s="28"/>
    </row>
    <row r="11" spans="1:19" ht="15" customHeight="1" x14ac:dyDescent="0.25">
      <c r="A11" s="167"/>
      <c r="B11" s="159"/>
      <c r="C11" s="159"/>
      <c r="D11" s="155" t="s">
        <v>10</v>
      </c>
      <c r="E11" s="156"/>
      <c r="F11" s="156"/>
      <c r="G11" s="156"/>
      <c r="H11" s="156"/>
      <c r="I11" s="156"/>
      <c r="J11" s="157"/>
      <c r="K11" s="145"/>
      <c r="L11" s="61"/>
      <c r="M11" s="61"/>
      <c r="N11" s="61"/>
      <c r="O11" s="61"/>
      <c r="P11" s="61"/>
      <c r="Q11" s="159"/>
      <c r="R11" s="28"/>
    </row>
    <row r="12" spans="1:19" ht="15" customHeight="1" x14ac:dyDescent="0.25">
      <c r="A12" s="167"/>
      <c r="B12" s="159"/>
      <c r="C12" s="159"/>
      <c r="D12" s="54" t="s">
        <v>11</v>
      </c>
      <c r="E12" s="46">
        <f>SUM(F12:J12)</f>
        <v>6434.5410000000002</v>
      </c>
      <c r="F12" s="46">
        <f>F18+F24</f>
        <v>0</v>
      </c>
      <c r="G12" s="46">
        <f t="shared" ref="G12:J12" si="1">G18+G24</f>
        <v>830.20500000000004</v>
      </c>
      <c r="H12" s="46">
        <f t="shared" si="1"/>
        <v>1868.1119999999999</v>
      </c>
      <c r="I12" s="46">
        <f t="shared" si="1"/>
        <v>1868.1119999999999</v>
      </c>
      <c r="J12" s="46">
        <f t="shared" si="1"/>
        <v>1868.1119999999999</v>
      </c>
      <c r="K12" s="145"/>
      <c r="L12" s="61"/>
      <c r="M12" s="61"/>
      <c r="N12" s="61"/>
      <c r="O12" s="61"/>
      <c r="P12" s="61"/>
      <c r="Q12" s="159"/>
      <c r="R12" s="28"/>
    </row>
    <row r="13" spans="1:19" ht="15" customHeight="1" x14ac:dyDescent="0.25">
      <c r="A13" s="167"/>
      <c r="B13" s="159"/>
      <c r="C13" s="159"/>
      <c r="D13" s="54" t="s">
        <v>12</v>
      </c>
      <c r="E13" s="46">
        <f>SUM(F13:J13)</f>
        <v>0</v>
      </c>
      <c r="F13" s="46">
        <f t="shared" ref="F13:J15" si="2">F19+F25</f>
        <v>0</v>
      </c>
      <c r="G13" s="46">
        <f t="shared" si="2"/>
        <v>0</v>
      </c>
      <c r="H13" s="46">
        <f t="shared" si="2"/>
        <v>0</v>
      </c>
      <c r="I13" s="46">
        <f t="shared" si="2"/>
        <v>0</v>
      </c>
      <c r="J13" s="46">
        <f t="shared" si="2"/>
        <v>0</v>
      </c>
      <c r="K13" s="145"/>
      <c r="L13" s="61"/>
      <c r="M13" s="61"/>
      <c r="N13" s="61"/>
      <c r="O13" s="61"/>
      <c r="P13" s="61"/>
      <c r="Q13" s="159"/>
      <c r="R13" s="28"/>
    </row>
    <row r="14" spans="1:19" x14ac:dyDescent="0.25">
      <c r="A14" s="167"/>
      <c r="B14" s="159"/>
      <c r="C14" s="159"/>
      <c r="D14" s="54" t="s">
        <v>13</v>
      </c>
      <c r="E14" s="46">
        <f>SUM(F14:J14)</f>
        <v>0</v>
      </c>
      <c r="F14" s="46">
        <f t="shared" si="2"/>
        <v>0</v>
      </c>
      <c r="G14" s="46">
        <f t="shared" si="2"/>
        <v>0</v>
      </c>
      <c r="H14" s="46">
        <f t="shared" si="2"/>
        <v>0</v>
      </c>
      <c r="I14" s="46">
        <f t="shared" si="2"/>
        <v>0</v>
      </c>
      <c r="J14" s="46">
        <f t="shared" si="2"/>
        <v>0</v>
      </c>
      <c r="K14" s="145"/>
      <c r="L14" s="61"/>
      <c r="M14" s="61"/>
      <c r="N14" s="61"/>
      <c r="O14" s="61"/>
      <c r="P14" s="61"/>
      <c r="Q14" s="159"/>
      <c r="R14" s="28"/>
    </row>
    <row r="15" spans="1:19" x14ac:dyDescent="0.25">
      <c r="A15" s="168"/>
      <c r="B15" s="160"/>
      <c r="C15" s="160"/>
      <c r="D15" s="54" t="s">
        <v>14</v>
      </c>
      <c r="E15" s="46">
        <f>SUM(F15:J15)</f>
        <v>0</v>
      </c>
      <c r="F15" s="46">
        <f t="shared" si="2"/>
        <v>0</v>
      </c>
      <c r="G15" s="46">
        <f t="shared" si="2"/>
        <v>0</v>
      </c>
      <c r="H15" s="46">
        <f t="shared" si="2"/>
        <v>0</v>
      </c>
      <c r="I15" s="46">
        <f t="shared" si="2"/>
        <v>0</v>
      </c>
      <c r="J15" s="46">
        <f t="shared" si="2"/>
        <v>0</v>
      </c>
      <c r="K15" s="145"/>
      <c r="L15" s="61"/>
      <c r="M15" s="61"/>
      <c r="N15" s="61"/>
      <c r="O15" s="61"/>
      <c r="P15" s="61"/>
      <c r="Q15" s="160"/>
      <c r="R15" s="28"/>
    </row>
    <row r="16" spans="1:19" ht="14.45" customHeight="1" x14ac:dyDescent="0.25">
      <c r="A16" s="166" t="s">
        <v>314</v>
      </c>
      <c r="B16" s="158" t="s">
        <v>312</v>
      </c>
      <c r="C16" s="158" t="s">
        <v>287</v>
      </c>
      <c r="D16" s="54" t="s">
        <v>9</v>
      </c>
      <c r="E16" s="46">
        <f t="shared" ref="E16:J16" si="3">SUM(E17:E21)</f>
        <v>95</v>
      </c>
      <c r="F16" s="46">
        <f t="shared" si="3"/>
        <v>0</v>
      </c>
      <c r="G16" s="46">
        <f t="shared" si="3"/>
        <v>12.2</v>
      </c>
      <c r="H16" s="46">
        <f t="shared" si="3"/>
        <v>27.6</v>
      </c>
      <c r="I16" s="46">
        <f t="shared" si="3"/>
        <v>27.6</v>
      </c>
      <c r="J16" s="46">
        <f t="shared" si="3"/>
        <v>27.6</v>
      </c>
      <c r="K16" s="146"/>
      <c r="L16" s="61"/>
      <c r="M16" s="61"/>
      <c r="N16" s="61"/>
      <c r="O16" s="61"/>
      <c r="P16" s="61"/>
      <c r="Q16" s="179" t="s">
        <v>386</v>
      </c>
      <c r="R16" s="28"/>
    </row>
    <row r="17" spans="1:18" x14ac:dyDescent="0.25">
      <c r="A17" s="167"/>
      <c r="B17" s="159"/>
      <c r="C17" s="159"/>
      <c r="D17" s="155" t="s">
        <v>10</v>
      </c>
      <c r="E17" s="156"/>
      <c r="F17" s="156"/>
      <c r="G17" s="156"/>
      <c r="H17" s="156"/>
      <c r="I17" s="156"/>
      <c r="J17" s="157"/>
      <c r="K17" s="61"/>
      <c r="L17" s="61"/>
      <c r="M17" s="61"/>
      <c r="N17" s="61"/>
      <c r="O17" s="61"/>
      <c r="P17" s="61"/>
      <c r="Q17" s="180"/>
      <c r="R17" s="28"/>
    </row>
    <row r="18" spans="1:18" x14ac:dyDescent="0.25">
      <c r="A18" s="167"/>
      <c r="B18" s="159"/>
      <c r="C18" s="159"/>
      <c r="D18" s="54" t="s">
        <v>11</v>
      </c>
      <c r="E18" s="46">
        <f>SUM(F18:J18)</f>
        <v>95</v>
      </c>
      <c r="F18" s="46"/>
      <c r="G18" s="46">
        <v>12.2</v>
      </c>
      <c r="H18" s="46">
        <v>27.6</v>
      </c>
      <c r="I18" s="46">
        <v>27.6</v>
      </c>
      <c r="J18" s="46">
        <v>27.6</v>
      </c>
      <c r="K18" s="61"/>
      <c r="L18" s="61"/>
      <c r="M18" s="61"/>
      <c r="N18" s="61"/>
      <c r="O18" s="61"/>
      <c r="P18" s="61"/>
      <c r="Q18" s="180"/>
      <c r="R18" s="28"/>
    </row>
    <row r="19" spans="1:18" ht="15" customHeight="1" x14ac:dyDescent="0.25">
      <c r="A19" s="167"/>
      <c r="B19" s="159"/>
      <c r="C19" s="159"/>
      <c r="D19" s="54" t="s">
        <v>12</v>
      </c>
      <c r="E19" s="46">
        <f>SUM(F19:J19)</f>
        <v>0</v>
      </c>
      <c r="F19" s="46"/>
      <c r="G19" s="46"/>
      <c r="H19" s="46"/>
      <c r="I19" s="46"/>
      <c r="J19" s="46"/>
      <c r="K19" s="61"/>
      <c r="L19" s="61"/>
      <c r="M19" s="61"/>
      <c r="N19" s="61"/>
      <c r="O19" s="61"/>
      <c r="P19" s="61"/>
      <c r="Q19" s="180"/>
      <c r="R19" s="28"/>
    </row>
    <row r="20" spans="1:18" x14ac:dyDescent="0.25">
      <c r="A20" s="167"/>
      <c r="B20" s="159"/>
      <c r="C20" s="159"/>
      <c r="D20" s="54" t="s">
        <v>13</v>
      </c>
      <c r="E20" s="46">
        <f>SUM(F20:J20)</f>
        <v>0</v>
      </c>
      <c r="F20" s="46"/>
      <c r="G20" s="46"/>
      <c r="H20" s="46"/>
      <c r="I20" s="46"/>
      <c r="J20" s="46"/>
      <c r="K20" s="61"/>
      <c r="L20" s="61"/>
      <c r="M20" s="61"/>
      <c r="N20" s="61"/>
      <c r="O20" s="61"/>
      <c r="P20" s="61"/>
      <c r="Q20" s="180"/>
      <c r="R20" s="28"/>
    </row>
    <row r="21" spans="1:18" x14ac:dyDescent="0.25">
      <c r="A21" s="168"/>
      <c r="B21" s="160"/>
      <c r="C21" s="160"/>
      <c r="D21" s="54" t="s">
        <v>14</v>
      </c>
      <c r="E21" s="46">
        <f>SUM(F21:J21)</f>
        <v>0</v>
      </c>
      <c r="F21" s="46"/>
      <c r="G21" s="46"/>
      <c r="H21" s="46"/>
      <c r="I21" s="46"/>
      <c r="J21" s="46"/>
      <c r="K21" s="61"/>
      <c r="L21" s="61"/>
      <c r="M21" s="61"/>
      <c r="N21" s="61"/>
      <c r="O21" s="61"/>
      <c r="P21" s="61"/>
      <c r="Q21" s="181"/>
      <c r="R21" s="28"/>
    </row>
    <row r="22" spans="1:18" ht="14.45" customHeight="1" x14ac:dyDescent="0.25">
      <c r="A22" s="166" t="s">
        <v>315</v>
      </c>
      <c r="B22" s="158" t="s">
        <v>313</v>
      </c>
      <c r="C22" s="158" t="s">
        <v>287</v>
      </c>
      <c r="D22" s="54" t="s">
        <v>9</v>
      </c>
      <c r="E22" s="46">
        <f t="shared" ref="E22:J22" si="4">SUM(E23:E27)</f>
        <v>6339.5409999999993</v>
      </c>
      <c r="F22" s="46">
        <f t="shared" si="4"/>
        <v>0</v>
      </c>
      <c r="G22" s="46">
        <f t="shared" si="4"/>
        <v>818.005</v>
      </c>
      <c r="H22" s="46">
        <f t="shared" si="4"/>
        <v>1840.5119999999999</v>
      </c>
      <c r="I22" s="46">
        <f t="shared" si="4"/>
        <v>1840.5119999999999</v>
      </c>
      <c r="J22" s="46">
        <f t="shared" si="4"/>
        <v>1840.5119999999999</v>
      </c>
      <c r="K22" s="61"/>
      <c r="L22" s="61"/>
      <c r="M22" s="61"/>
      <c r="N22" s="61"/>
      <c r="O22" s="61"/>
      <c r="P22" s="61"/>
      <c r="Q22" s="179" t="s">
        <v>386</v>
      </c>
      <c r="R22" s="28"/>
    </row>
    <row r="23" spans="1:18" x14ac:dyDescent="0.25">
      <c r="A23" s="167"/>
      <c r="B23" s="159"/>
      <c r="C23" s="159"/>
      <c r="D23" s="155" t="s">
        <v>10</v>
      </c>
      <c r="E23" s="156"/>
      <c r="F23" s="156"/>
      <c r="G23" s="156"/>
      <c r="H23" s="156"/>
      <c r="I23" s="156"/>
      <c r="J23" s="157"/>
      <c r="K23" s="61"/>
      <c r="L23" s="61"/>
      <c r="M23" s="61"/>
      <c r="N23" s="61"/>
      <c r="O23" s="61"/>
      <c r="P23" s="61"/>
      <c r="Q23" s="180"/>
      <c r="R23" s="28"/>
    </row>
    <row r="24" spans="1:18" x14ac:dyDescent="0.25">
      <c r="A24" s="167"/>
      <c r="B24" s="159"/>
      <c r="C24" s="159"/>
      <c r="D24" s="54" t="s">
        <v>11</v>
      </c>
      <c r="E24" s="46">
        <f>SUM(F24:J24)</f>
        <v>6339.5409999999993</v>
      </c>
      <c r="F24" s="46"/>
      <c r="G24" s="46">
        <v>818.005</v>
      </c>
      <c r="H24" s="46">
        <v>1840.5119999999999</v>
      </c>
      <c r="I24" s="46">
        <v>1840.5119999999999</v>
      </c>
      <c r="J24" s="46">
        <v>1840.5119999999999</v>
      </c>
      <c r="K24" s="61"/>
      <c r="L24" s="61"/>
      <c r="M24" s="61"/>
      <c r="N24" s="61"/>
      <c r="O24" s="61"/>
      <c r="P24" s="61"/>
      <c r="Q24" s="180"/>
      <c r="R24" s="28"/>
    </row>
    <row r="25" spans="1:18" ht="15" customHeight="1" x14ac:dyDescent="0.25">
      <c r="A25" s="167"/>
      <c r="B25" s="159"/>
      <c r="C25" s="159"/>
      <c r="D25" s="54" t="s">
        <v>12</v>
      </c>
      <c r="E25" s="46">
        <f>SUM(F25:J25)</f>
        <v>0</v>
      </c>
      <c r="F25" s="46"/>
      <c r="G25" s="46"/>
      <c r="H25" s="46"/>
      <c r="I25" s="46"/>
      <c r="J25" s="46"/>
      <c r="K25" s="61"/>
      <c r="L25" s="61"/>
      <c r="M25" s="61"/>
      <c r="N25" s="61"/>
      <c r="O25" s="61"/>
      <c r="P25" s="61"/>
      <c r="Q25" s="180"/>
      <c r="R25" s="28"/>
    </row>
    <row r="26" spans="1:18" x14ac:dyDescent="0.25">
      <c r="A26" s="167"/>
      <c r="B26" s="159"/>
      <c r="C26" s="159"/>
      <c r="D26" s="54" t="s">
        <v>13</v>
      </c>
      <c r="E26" s="46">
        <f>SUM(F26:J26)</f>
        <v>0</v>
      </c>
      <c r="F26" s="46"/>
      <c r="G26" s="46"/>
      <c r="H26" s="46"/>
      <c r="I26" s="46"/>
      <c r="J26" s="46"/>
      <c r="K26" s="61"/>
      <c r="L26" s="61"/>
      <c r="M26" s="61"/>
      <c r="N26" s="61"/>
      <c r="O26" s="61"/>
      <c r="P26" s="61"/>
      <c r="Q26" s="180"/>
      <c r="R26" s="28"/>
    </row>
    <row r="27" spans="1:18" x14ac:dyDescent="0.25">
      <c r="A27" s="168"/>
      <c r="B27" s="160"/>
      <c r="C27" s="160"/>
      <c r="D27" s="54" t="s">
        <v>14</v>
      </c>
      <c r="E27" s="46">
        <f>SUM(F27:J27)</f>
        <v>0</v>
      </c>
      <c r="F27" s="46"/>
      <c r="G27" s="46"/>
      <c r="H27" s="46"/>
      <c r="I27" s="46"/>
      <c r="J27" s="46"/>
      <c r="K27" s="61"/>
      <c r="L27" s="61"/>
      <c r="M27" s="61"/>
      <c r="N27" s="61"/>
      <c r="O27" s="61"/>
      <c r="P27" s="61"/>
      <c r="Q27" s="181"/>
      <c r="R27" s="28"/>
    </row>
    <row r="28" spans="1:18" x14ac:dyDescent="0.25">
      <c r="A28" s="239"/>
      <c r="B28" s="213" t="s">
        <v>16</v>
      </c>
      <c r="C28" s="239"/>
      <c r="D28" s="54" t="s">
        <v>9</v>
      </c>
      <c r="E28" s="46">
        <f t="shared" ref="E28:J28" si="5">SUM(E29:E33)</f>
        <v>6434.5410000000002</v>
      </c>
      <c r="F28" s="46">
        <f t="shared" si="5"/>
        <v>0</v>
      </c>
      <c r="G28" s="46">
        <f t="shared" si="5"/>
        <v>830.20500000000004</v>
      </c>
      <c r="H28" s="46">
        <f t="shared" si="5"/>
        <v>1868.1119999999999</v>
      </c>
      <c r="I28" s="46">
        <f t="shared" si="5"/>
        <v>1868.1119999999999</v>
      </c>
      <c r="J28" s="46">
        <f t="shared" si="5"/>
        <v>1868.1119999999999</v>
      </c>
      <c r="K28" s="207"/>
      <c r="L28" s="207"/>
      <c r="M28" s="207"/>
      <c r="N28" s="207"/>
      <c r="O28" s="207"/>
      <c r="P28" s="207"/>
      <c r="Q28" s="161"/>
      <c r="R28" s="28"/>
    </row>
    <row r="29" spans="1:18" x14ac:dyDescent="0.25">
      <c r="A29" s="239"/>
      <c r="B29" s="213"/>
      <c r="C29" s="239"/>
      <c r="D29" s="155" t="s">
        <v>10</v>
      </c>
      <c r="E29" s="156"/>
      <c r="F29" s="156"/>
      <c r="G29" s="156"/>
      <c r="H29" s="156"/>
      <c r="I29" s="156"/>
      <c r="J29" s="157"/>
      <c r="K29" s="208"/>
      <c r="L29" s="208"/>
      <c r="M29" s="208"/>
      <c r="N29" s="208"/>
      <c r="O29" s="208"/>
      <c r="P29" s="208"/>
      <c r="Q29" s="162"/>
      <c r="R29" s="28"/>
    </row>
    <row r="30" spans="1:18" x14ac:dyDescent="0.25">
      <c r="A30" s="239"/>
      <c r="B30" s="213"/>
      <c r="C30" s="239"/>
      <c r="D30" s="54" t="s">
        <v>11</v>
      </c>
      <c r="E30" s="46">
        <f>SUM(F30:J30)</f>
        <v>6434.5410000000002</v>
      </c>
      <c r="F30" s="46">
        <f>F12</f>
        <v>0</v>
      </c>
      <c r="G30" s="46">
        <f t="shared" ref="G30:J30" si="6">G12</f>
        <v>830.20500000000004</v>
      </c>
      <c r="H30" s="46">
        <f t="shared" si="6"/>
        <v>1868.1119999999999</v>
      </c>
      <c r="I30" s="46">
        <f t="shared" si="6"/>
        <v>1868.1119999999999</v>
      </c>
      <c r="J30" s="46">
        <f t="shared" si="6"/>
        <v>1868.1119999999999</v>
      </c>
      <c r="K30" s="208"/>
      <c r="L30" s="208"/>
      <c r="M30" s="208"/>
      <c r="N30" s="208"/>
      <c r="O30" s="208"/>
      <c r="P30" s="208"/>
      <c r="Q30" s="162"/>
      <c r="R30" s="28"/>
    </row>
    <row r="31" spans="1:18" x14ac:dyDescent="0.25">
      <c r="A31" s="239"/>
      <c r="B31" s="213"/>
      <c r="C31" s="239"/>
      <c r="D31" s="54" t="s">
        <v>12</v>
      </c>
      <c r="E31" s="46">
        <f>SUM(F31:J31)</f>
        <v>0</v>
      </c>
      <c r="F31" s="46">
        <f t="shared" ref="F31:J33" si="7">F13</f>
        <v>0</v>
      </c>
      <c r="G31" s="46">
        <f t="shared" si="7"/>
        <v>0</v>
      </c>
      <c r="H31" s="46">
        <f t="shared" si="7"/>
        <v>0</v>
      </c>
      <c r="I31" s="46">
        <f t="shared" si="7"/>
        <v>0</v>
      </c>
      <c r="J31" s="46">
        <f t="shared" si="7"/>
        <v>0</v>
      </c>
      <c r="K31" s="208"/>
      <c r="L31" s="208"/>
      <c r="M31" s="208"/>
      <c r="N31" s="208"/>
      <c r="O31" s="208"/>
      <c r="P31" s="208"/>
      <c r="Q31" s="162"/>
      <c r="R31" s="28"/>
    </row>
    <row r="32" spans="1:18" x14ac:dyDescent="0.25">
      <c r="A32" s="239"/>
      <c r="B32" s="213"/>
      <c r="C32" s="239"/>
      <c r="D32" s="54" t="s">
        <v>13</v>
      </c>
      <c r="E32" s="46">
        <f>SUM(F32:J32)</f>
        <v>0</v>
      </c>
      <c r="F32" s="46">
        <f t="shared" si="7"/>
        <v>0</v>
      </c>
      <c r="G32" s="46">
        <f t="shared" si="7"/>
        <v>0</v>
      </c>
      <c r="H32" s="46">
        <f t="shared" si="7"/>
        <v>0</v>
      </c>
      <c r="I32" s="46">
        <f t="shared" si="7"/>
        <v>0</v>
      </c>
      <c r="J32" s="46">
        <f t="shared" si="7"/>
        <v>0</v>
      </c>
      <c r="K32" s="208"/>
      <c r="L32" s="208"/>
      <c r="M32" s="208"/>
      <c r="N32" s="208"/>
      <c r="O32" s="208"/>
      <c r="P32" s="208"/>
      <c r="Q32" s="162"/>
      <c r="R32" s="28"/>
    </row>
    <row r="33" spans="1:18" x14ac:dyDescent="0.25">
      <c r="A33" s="239"/>
      <c r="B33" s="213"/>
      <c r="C33" s="239"/>
      <c r="D33" s="54" t="s">
        <v>14</v>
      </c>
      <c r="E33" s="46">
        <f>SUM(F33:J33)</f>
        <v>0</v>
      </c>
      <c r="F33" s="46">
        <f t="shared" si="7"/>
        <v>0</v>
      </c>
      <c r="G33" s="46">
        <f t="shared" si="7"/>
        <v>0</v>
      </c>
      <c r="H33" s="46">
        <f t="shared" si="7"/>
        <v>0</v>
      </c>
      <c r="I33" s="46">
        <f t="shared" si="7"/>
        <v>0</v>
      </c>
      <c r="J33" s="46">
        <f t="shared" si="7"/>
        <v>0</v>
      </c>
      <c r="K33" s="209"/>
      <c r="L33" s="209"/>
      <c r="M33" s="209"/>
      <c r="N33" s="209"/>
      <c r="O33" s="209"/>
      <c r="P33" s="209"/>
      <c r="Q33" s="163"/>
      <c r="R33" s="28"/>
    </row>
    <row r="34" spans="1:18" ht="18" customHeight="1" x14ac:dyDescent="0.25">
      <c r="A34" s="239"/>
      <c r="B34" s="213" t="s">
        <v>318</v>
      </c>
      <c r="C34" s="239"/>
      <c r="D34" s="54" t="s">
        <v>9</v>
      </c>
      <c r="E34" s="46">
        <f t="shared" ref="E34:J34" si="8">SUM(E35:E39)</f>
        <v>6434.5409999999993</v>
      </c>
      <c r="F34" s="46">
        <f t="shared" si="8"/>
        <v>0</v>
      </c>
      <c r="G34" s="46">
        <f t="shared" si="8"/>
        <v>830.20500000000004</v>
      </c>
      <c r="H34" s="46">
        <f t="shared" si="8"/>
        <v>1868.1119999999999</v>
      </c>
      <c r="I34" s="46">
        <f t="shared" si="8"/>
        <v>1868.1119999999999</v>
      </c>
      <c r="J34" s="46">
        <f t="shared" si="8"/>
        <v>1868.1119999999999</v>
      </c>
      <c r="K34" s="61"/>
      <c r="L34" s="61"/>
      <c r="M34" s="61"/>
      <c r="N34" s="61"/>
      <c r="O34" s="61"/>
      <c r="P34" s="61"/>
      <c r="Q34" s="161"/>
      <c r="R34" s="28"/>
    </row>
    <row r="35" spans="1:18" x14ac:dyDescent="0.25">
      <c r="A35" s="239"/>
      <c r="B35" s="213"/>
      <c r="C35" s="239"/>
      <c r="D35" s="155" t="s">
        <v>10</v>
      </c>
      <c r="E35" s="156"/>
      <c r="F35" s="156"/>
      <c r="G35" s="156"/>
      <c r="H35" s="156"/>
      <c r="I35" s="156"/>
      <c r="J35" s="157"/>
      <c r="K35" s="61"/>
      <c r="L35" s="61"/>
      <c r="M35" s="61"/>
      <c r="N35" s="61"/>
      <c r="O35" s="61"/>
      <c r="P35" s="61"/>
      <c r="Q35" s="162"/>
      <c r="R35" s="28"/>
    </row>
    <row r="36" spans="1:18" x14ac:dyDescent="0.25">
      <c r="A36" s="239"/>
      <c r="B36" s="213"/>
      <c r="C36" s="239"/>
      <c r="D36" s="54" t="s">
        <v>11</v>
      </c>
      <c r="E36" s="56">
        <f>J36+I36+H36+G36+F36</f>
        <v>6434.5409999999993</v>
      </c>
      <c r="F36" s="50">
        <f>F30</f>
        <v>0</v>
      </c>
      <c r="G36" s="50">
        <f t="shared" ref="G36:J36" si="9">G30</f>
        <v>830.20500000000004</v>
      </c>
      <c r="H36" s="50">
        <f t="shared" si="9"/>
        <v>1868.1119999999999</v>
      </c>
      <c r="I36" s="50">
        <f t="shared" si="9"/>
        <v>1868.1119999999999</v>
      </c>
      <c r="J36" s="50">
        <f t="shared" si="9"/>
        <v>1868.1119999999999</v>
      </c>
      <c r="K36" s="61"/>
      <c r="L36" s="61"/>
      <c r="M36" s="61"/>
      <c r="N36" s="61"/>
      <c r="O36" s="61"/>
      <c r="P36" s="61"/>
      <c r="Q36" s="162"/>
      <c r="R36" s="28"/>
    </row>
    <row r="37" spans="1:18" x14ac:dyDescent="0.25">
      <c r="A37" s="239"/>
      <c r="B37" s="213"/>
      <c r="C37" s="239"/>
      <c r="D37" s="54" t="s">
        <v>12</v>
      </c>
      <c r="E37" s="46">
        <f>SUM(F37:J37)</f>
        <v>0</v>
      </c>
      <c r="F37" s="50">
        <f t="shared" ref="F37:J39" si="10">F31</f>
        <v>0</v>
      </c>
      <c r="G37" s="50">
        <f t="shared" si="10"/>
        <v>0</v>
      </c>
      <c r="H37" s="50">
        <f t="shared" si="10"/>
        <v>0</v>
      </c>
      <c r="I37" s="50">
        <f t="shared" si="10"/>
        <v>0</v>
      </c>
      <c r="J37" s="50">
        <f t="shared" si="10"/>
        <v>0</v>
      </c>
      <c r="K37" s="61"/>
      <c r="L37" s="61"/>
      <c r="M37" s="61"/>
      <c r="N37" s="61"/>
      <c r="O37" s="61"/>
      <c r="P37" s="61"/>
      <c r="Q37" s="162"/>
    </row>
    <row r="38" spans="1:18" x14ac:dyDescent="0.25">
      <c r="A38" s="239"/>
      <c r="B38" s="213"/>
      <c r="C38" s="239"/>
      <c r="D38" s="54" t="s">
        <v>13</v>
      </c>
      <c r="E38" s="46">
        <f>SUM(F38:J38)</f>
        <v>0</v>
      </c>
      <c r="F38" s="50">
        <f t="shared" si="10"/>
        <v>0</v>
      </c>
      <c r="G38" s="50">
        <f t="shared" si="10"/>
        <v>0</v>
      </c>
      <c r="H38" s="50">
        <f t="shared" si="10"/>
        <v>0</v>
      </c>
      <c r="I38" s="50">
        <f t="shared" si="10"/>
        <v>0</v>
      </c>
      <c r="J38" s="50">
        <f t="shared" si="10"/>
        <v>0</v>
      </c>
      <c r="K38" s="54"/>
      <c r="L38" s="61"/>
      <c r="M38" s="61"/>
      <c r="N38" s="61"/>
      <c r="O38" s="61"/>
      <c r="P38" s="61"/>
      <c r="Q38" s="162"/>
    </row>
    <row r="39" spans="1:18" x14ac:dyDescent="0.25">
      <c r="A39" s="239"/>
      <c r="B39" s="213"/>
      <c r="C39" s="239"/>
      <c r="D39" s="54" t="s">
        <v>14</v>
      </c>
      <c r="E39" s="46">
        <f>SUM(F39:J39)</f>
        <v>0</v>
      </c>
      <c r="F39" s="50">
        <f t="shared" si="10"/>
        <v>0</v>
      </c>
      <c r="G39" s="50">
        <f t="shared" si="10"/>
        <v>0</v>
      </c>
      <c r="H39" s="50">
        <f t="shared" si="10"/>
        <v>0</v>
      </c>
      <c r="I39" s="50">
        <f t="shared" si="10"/>
        <v>0</v>
      </c>
      <c r="J39" s="50">
        <f t="shared" si="10"/>
        <v>0</v>
      </c>
      <c r="K39" s="61"/>
      <c r="L39" s="61"/>
      <c r="M39" s="61"/>
      <c r="N39" s="61"/>
      <c r="O39" s="61"/>
      <c r="P39" s="61"/>
      <c r="Q39" s="163"/>
    </row>
    <row r="40" spans="1:18" ht="14.45" customHeight="1" x14ac:dyDescent="0.25">
      <c r="A40" s="141"/>
      <c r="B40" s="28" t="s">
        <v>17</v>
      </c>
      <c r="C40" s="28"/>
      <c r="D40" s="28"/>
      <c r="E40" s="28"/>
      <c r="F40" s="101"/>
      <c r="G40" s="28"/>
      <c r="H40" s="28"/>
      <c r="I40" s="28"/>
      <c r="J40" s="28"/>
      <c r="K40" s="28"/>
      <c r="L40" s="28"/>
      <c r="M40" s="28"/>
      <c r="N40" s="28"/>
      <c r="O40" s="28"/>
      <c r="P40" s="28"/>
      <c r="Q40" s="59"/>
    </row>
    <row r="41" spans="1:18" ht="15" customHeight="1" x14ac:dyDescent="0.25">
      <c r="A41" s="141"/>
      <c r="B41" s="240" t="s">
        <v>18</v>
      </c>
      <c r="C41" s="240"/>
      <c r="D41" s="240"/>
      <c r="E41" s="240"/>
      <c r="F41" s="240"/>
      <c r="G41" s="240"/>
      <c r="H41" s="240"/>
      <c r="I41" s="240"/>
      <c r="J41" s="240"/>
      <c r="K41" s="240"/>
      <c r="L41" s="240"/>
      <c r="M41" s="240"/>
      <c r="N41" s="240"/>
      <c r="O41" s="240"/>
      <c r="P41" s="240"/>
      <c r="Q41" s="240"/>
    </row>
    <row r="42" spans="1:18" x14ac:dyDescent="0.25">
      <c r="A42" s="141"/>
      <c r="B42" s="241" t="s">
        <v>19</v>
      </c>
      <c r="C42" s="241"/>
      <c r="D42" s="241"/>
      <c r="E42" s="241"/>
      <c r="F42" s="241"/>
      <c r="G42" s="241"/>
      <c r="H42" s="241"/>
      <c r="I42" s="241"/>
      <c r="J42" s="241"/>
      <c r="K42" s="241"/>
      <c r="L42" s="241"/>
      <c r="M42" s="241"/>
      <c r="N42" s="241"/>
      <c r="O42" s="241"/>
      <c r="P42" s="241"/>
      <c r="Q42" s="241"/>
    </row>
  </sheetData>
  <mergeCells count="45">
    <mergeCell ref="O1:Q1"/>
    <mergeCell ref="I2:Q2"/>
    <mergeCell ref="A3:Q3"/>
    <mergeCell ref="A5:A6"/>
    <mergeCell ref="B5:B6"/>
    <mergeCell ref="C5:C6"/>
    <mergeCell ref="D5:D6"/>
    <mergeCell ref="E5:J5"/>
    <mergeCell ref="K5:P5"/>
    <mergeCell ref="Q5:Q6"/>
    <mergeCell ref="B8:Q8"/>
    <mergeCell ref="B9:Q9"/>
    <mergeCell ref="A10:A15"/>
    <mergeCell ref="B10:B15"/>
    <mergeCell ref="C10:C15"/>
    <mergeCell ref="Q10:Q15"/>
    <mergeCell ref="D11:J11"/>
    <mergeCell ref="A22:A27"/>
    <mergeCell ref="B22:B27"/>
    <mergeCell ref="C22:C27"/>
    <mergeCell ref="Q22:Q27"/>
    <mergeCell ref="D23:J23"/>
    <mergeCell ref="A16:A21"/>
    <mergeCell ref="B16:B21"/>
    <mergeCell ref="C16:C21"/>
    <mergeCell ref="Q16:Q21"/>
    <mergeCell ref="D17:J17"/>
    <mergeCell ref="A28:A33"/>
    <mergeCell ref="B28:B33"/>
    <mergeCell ref="C28:C33"/>
    <mergeCell ref="K28:K33"/>
    <mergeCell ref="L28:L33"/>
    <mergeCell ref="A34:A39"/>
    <mergeCell ref="B34:B39"/>
    <mergeCell ref="C34:C39"/>
    <mergeCell ref="Q34:Q39"/>
    <mergeCell ref="D35:J35"/>
    <mergeCell ref="B41:Q41"/>
    <mergeCell ref="B42:Q42"/>
    <mergeCell ref="N28:N33"/>
    <mergeCell ref="O28:O33"/>
    <mergeCell ref="P28:P33"/>
    <mergeCell ref="Q28:Q33"/>
    <mergeCell ref="D29:J29"/>
    <mergeCell ref="M28:M33"/>
  </mergeCells>
  <pageMargins left="0.31496062992125984" right="0.31496062992125984" top="0.74803149606299213" bottom="0.55118110236220474" header="0.31496062992125984" footer="0.31496062992125984"/>
  <pageSetup paperSize="9" scale="68" firstPageNumber="12"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24</vt:i4>
      </vt:variant>
    </vt:vector>
  </HeadingPairs>
  <TitlesOfParts>
    <vt:vector size="40" baseType="lpstr">
      <vt:lpstr>ПОМ ПП 1</vt:lpstr>
      <vt:lpstr>ИФ ПП 1</vt:lpstr>
      <vt:lpstr>ПОМ ПП 2</vt:lpstr>
      <vt:lpstr>ИФ ПП 2</vt:lpstr>
      <vt:lpstr>ПОМ ПП 3</vt:lpstr>
      <vt:lpstr>ИФ ПП 3</vt:lpstr>
      <vt:lpstr>ПОМ ПП 4</vt:lpstr>
      <vt:lpstr>ИФ ПП 4</vt:lpstr>
      <vt:lpstr>ПОМ ПП 5</vt:lpstr>
      <vt:lpstr>ИФ ПП 5</vt:lpstr>
      <vt:lpstr>ПОМ ВЦП</vt:lpstr>
      <vt:lpstr>ИФ ВЦП</vt:lpstr>
      <vt:lpstr>ПОМ АВЦП</vt:lpstr>
      <vt:lpstr>СОФ МЦП</vt:lpstr>
      <vt:lpstr>Лист1</vt:lpstr>
      <vt:lpstr>Лист2</vt:lpstr>
      <vt:lpstr>'ИФ ВЦП'!_ftn3</vt:lpstr>
      <vt:lpstr>'ИФ ПП 2'!_ftn3</vt:lpstr>
      <vt:lpstr>'ИФ ПП 3'!_ftn3</vt:lpstr>
      <vt:lpstr>'ИФ ПП 4'!_ftn3</vt:lpstr>
      <vt:lpstr>'ИФ ПП 5'!_ftn3</vt:lpstr>
      <vt:lpstr>'СОФ МЦП'!_ftn3</vt:lpstr>
      <vt:lpstr>'ИФ ВЦП'!_ftnref3</vt:lpstr>
      <vt:lpstr>'ИФ ПП 2'!_ftnref3</vt:lpstr>
      <vt:lpstr>'ИФ ПП 3'!_ftnref3</vt:lpstr>
      <vt:lpstr>'ИФ ВЦП'!Заголовки_для_печати</vt:lpstr>
      <vt:lpstr>'ИФ ПП 1'!Заголовки_для_печати</vt:lpstr>
      <vt:lpstr>'ИФ ПП 2'!Заголовки_для_печати</vt:lpstr>
      <vt:lpstr>'ИФ ПП 3'!Заголовки_для_печати</vt:lpstr>
      <vt:lpstr>'ИФ ПП 4'!Заголовки_для_печати</vt:lpstr>
      <vt:lpstr>'ИФ ПП 5'!Заголовки_для_печати</vt:lpstr>
      <vt:lpstr>'ПОМ АВЦП'!Заголовки_для_печати</vt:lpstr>
      <vt:lpstr>'ПОМ ВЦП'!Заголовки_для_печати</vt:lpstr>
      <vt:lpstr>'ПОМ ПП 1'!Заголовки_для_печати</vt:lpstr>
      <vt:lpstr>'ПОМ ПП 2'!Заголовки_для_печати</vt:lpstr>
      <vt:lpstr>'ПОМ ПП 3'!Заголовки_для_печати</vt:lpstr>
      <vt:lpstr>'ПОМ ПП 4'!Заголовки_для_печати</vt:lpstr>
      <vt:lpstr>'ПОМ ПП 5'!Заголовки_для_печати</vt:lpstr>
      <vt:lpstr>'СОФ МЦП'!Заголовки_для_печати</vt:lpstr>
      <vt:lpstr>'ПОМ ВЦП'!Область_печати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Зверева</dc:creator>
  <cp:lastModifiedBy>User</cp:lastModifiedBy>
  <cp:lastPrinted>2021-06-24T07:52:02Z</cp:lastPrinted>
  <dcterms:created xsi:type="dcterms:W3CDTF">2016-05-30T06:12:37Z</dcterms:created>
  <dcterms:modified xsi:type="dcterms:W3CDTF">2021-06-24T07:53:51Z</dcterms:modified>
</cp:coreProperties>
</file>